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300" windowWidth="14850" windowHeight="9000" tabRatio="625" activeTab="1"/>
  </bookViews>
  <sheets>
    <sheet name="Cover" sheetId="2" r:id="rId1"/>
    <sheet name="Input" sheetId="8" r:id="rId2"/>
    <sheet name="Current Distribution" sheetId="1" r:id="rId3"/>
    <sheet name="Options" sheetId="5" r:id="rId4"/>
    <sheet name="Proposed Distribution" sheetId="7" r:id="rId5"/>
    <sheet name="Tables" sheetId="9" state="hidden" r:id="rId6"/>
    <sheet name="Fact Sheet" sheetId="4" r:id="rId7"/>
  </sheets>
  <definedNames>
    <definedName name="ETable">Tables!$A$13:$D$31</definedName>
    <definedName name="P" localSheetId="6">'Fact Sheet'!$B$1:$M$29</definedName>
    <definedName name="P" localSheetId="4">'Proposed Distribution'!$B$1:$N$28</definedName>
    <definedName name="P">'Current Distribution'!$B$1:$N$27</definedName>
    <definedName name="_xlnm.Print_Area" localSheetId="2">'Current Distribution'!$A$1:$M$28</definedName>
    <definedName name="_xlnm.Print_Area" localSheetId="6">'Fact Sheet'!$A$1:$L$34</definedName>
    <definedName name="_xlnm.Print_Area" localSheetId="3">Options!$A$1:$J$20</definedName>
    <definedName name="_xlnm.Print_Area" localSheetId="4">'Proposed Distribution'!$A$1:$M$29</definedName>
  </definedNames>
  <calcPr calcId="125725"/>
</workbook>
</file>

<file path=xl/calcChain.xml><?xml version="1.0" encoding="utf-8"?>
<calcChain xmlns="http://schemas.openxmlformats.org/spreadsheetml/2006/main">
  <c r="L6" i="4"/>
  <c r="K6"/>
  <c r="J6"/>
  <c r="H6"/>
  <c r="G6"/>
  <c r="L34"/>
  <c r="B34"/>
  <c r="B4" i="7"/>
  <c r="G33" i="8"/>
  <c r="B12" i="1"/>
  <c r="B13"/>
  <c r="B14"/>
  <c r="B15"/>
  <c r="B16"/>
  <c r="B17"/>
  <c r="B18"/>
  <c r="B19"/>
  <c r="B11"/>
  <c r="B12" i="7"/>
  <c r="B13"/>
  <c r="B14"/>
  <c r="B15"/>
  <c r="B16"/>
  <c r="B17"/>
  <c r="B18"/>
  <c r="B19"/>
  <c r="B11"/>
  <c r="M10" i="8"/>
  <c r="M9"/>
  <c r="M7"/>
  <c r="M8"/>
  <c r="F9"/>
  <c r="F10"/>
  <c r="F11"/>
  <c r="F12"/>
  <c r="F13"/>
  <c r="F14"/>
  <c r="F15"/>
  <c r="F16"/>
  <c r="F8"/>
  <c r="L3" i="5" l="1"/>
  <c r="E33" i="8"/>
  <c r="H4" i="7"/>
  <c r="H4" i="1"/>
  <c r="C6" i="7"/>
  <c r="C6" i="1"/>
  <c r="B3" i="7"/>
  <c r="A3" i="1"/>
  <c r="A9" i="9"/>
  <c r="A8"/>
  <c r="A1"/>
  <c r="A3"/>
  <c r="D35" s="1"/>
  <c r="A4"/>
  <c r="A35" s="1"/>
  <c r="A6"/>
  <c r="D30" s="1"/>
  <c r="D13" i="7"/>
  <c r="D14"/>
  <c r="D15"/>
  <c r="D16"/>
  <c r="D17"/>
  <c r="D18"/>
  <c r="D19"/>
  <c r="D11"/>
  <c r="D13" i="1"/>
  <c r="D14"/>
  <c r="D15"/>
  <c r="D16"/>
  <c r="D17"/>
  <c r="D18"/>
  <c r="D19"/>
  <c r="D11"/>
  <c r="A37" i="9"/>
  <c r="D36" l="1"/>
  <c r="F6"/>
  <c r="D31"/>
  <c r="D17"/>
  <c r="D14"/>
  <c r="D23"/>
  <c r="D13"/>
  <c r="B14" s="1"/>
  <c r="D15"/>
  <c r="D19"/>
  <c r="D27"/>
  <c r="D16"/>
  <c r="D18"/>
  <c r="D21"/>
  <c r="D25"/>
  <c r="D29"/>
  <c r="D20"/>
  <c r="D22"/>
  <c r="D24"/>
  <c r="D26"/>
  <c r="D28"/>
  <c r="B34"/>
  <c r="A10"/>
  <c r="E30" i="8" s="1"/>
  <c r="B15" i="9"/>
  <c r="B16" l="1"/>
  <c r="B17" s="1"/>
  <c r="B18" s="1"/>
  <c r="B19" s="1"/>
  <c r="B20" s="1"/>
  <c r="B21" s="1"/>
  <c r="B22" s="1"/>
  <c r="B23" s="1"/>
  <c r="B24" s="1"/>
  <c r="B25" s="1"/>
  <c r="B26" s="1"/>
  <c r="B27" s="1"/>
  <c r="B28" s="1"/>
  <c r="B29" s="1"/>
  <c r="B30" s="1"/>
  <c r="B31" s="1"/>
  <c r="H6" i="8"/>
  <c r="C8" i="1" s="1"/>
  <c r="K4" i="7"/>
  <c r="M6"/>
  <c r="L6"/>
  <c r="K6"/>
  <c r="I6"/>
  <c r="H6"/>
  <c r="K6" i="1"/>
  <c r="D20" i="8"/>
  <c r="B10" i="1"/>
  <c r="H7" i="8"/>
  <c r="C10" i="1" s="1"/>
  <c r="C10" i="7" s="1"/>
  <c r="D19" i="8"/>
  <c r="H9"/>
  <c r="C12" i="1" s="1"/>
  <c r="H10" i="8"/>
  <c r="C13" i="1" s="1"/>
  <c r="H11" i="8"/>
  <c r="C14" i="1" s="1"/>
  <c r="H12" i="8"/>
  <c r="C15" i="1" s="1"/>
  <c r="H13" i="8"/>
  <c r="C16" i="1" s="1"/>
  <c r="H14" i="8"/>
  <c r="C17" i="1" s="1"/>
  <c r="H15" i="8"/>
  <c r="C18" i="1" s="1"/>
  <c r="H16" i="8"/>
  <c r="H8"/>
  <c r="C11" i="1" s="1"/>
  <c r="E8" i="8" l="1"/>
  <c r="E14"/>
  <c r="A2" i="9"/>
  <c r="D12" i="1"/>
  <c r="D12" i="7"/>
  <c r="C19" i="1"/>
  <c r="K3" i="5"/>
  <c r="E19" i="8"/>
  <c r="E20"/>
  <c r="H20"/>
  <c r="K1" i="5"/>
  <c r="H19" i="8"/>
  <c r="A5" i="9" s="1"/>
  <c r="E7" i="8"/>
  <c r="E15"/>
  <c r="E13"/>
  <c r="E11"/>
  <c r="E9"/>
  <c r="E16"/>
  <c r="E12"/>
  <c r="E10"/>
  <c r="N3" i="5" l="1"/>
  <c r="M3"/>
  <c r="M6" s="1"/>
  <c r="L45" i="9"/>
  <c r="L46"/>
  <c r="I8" i="8"/>
  <c r="I13"/>
  <c r="I9"/>
  <c r="I16"/>
  <c r="I19"/>
  <c r="I11"/>
  <c r="I15"/>
  <c r="I7"/>
  <c r="I20"/>
  <c r="I10"/>
  <c r="I14"/>
  <c r="I12"/>
  <c r="B10" i="7"/>
  <c r="C12"/>
  <c r="C13"/>
  <c r="C14"/>
  <c r="C15"/>
  <c r="C16"/>
  <c r="C17"/>
  <c r="C18"/>
  <c r="C19"/>
  <c r="C11"/>
  <c r="L6" i="1"/>
  <c r="I6"/>
  <c r="H6"/>
  <c r="E31" i="4"/>
  <c r="J4"/>
  <c r="G4"/>
  <c r="K4" i="1"/>
  <c r="M6"/>
  <c r="C20"/>
  <c r="C21" s="1"/>
  <c r="M21" i="7" l="1"/>
  <c r="L21"/>
  <c r="K21"/>
  <c r="L9" i="5"/>
  <c r="H21" i="7" s="1"/>
  <c r="L7" i="5"/>
  <c r="L6"/>
  <c r="B9" s="1"/>
  <c r="B35" i="9"/>
  <c r="C21" i="7"/>
  <c r="C22" s="1"/>
  <c r="B36" i="9" l="1"/>
  <c r="B37" s="1"/>
  <c r="I21" i="7"/>
  <c r="H20"/>
  <c r="I20"/>
  <c r="C23"/>
  <c r="C22" i="1"/>
  <c r="B38" i="9" l="1"/>
  <c r="D38" s="1"/>
  <c r="B39"/>
  <c r="B40" l="1"/>
  <c r="C23" i="1" l="1"/>
  <c r="D40" i="9"/>
  <c r="C24" i="7"/>
  <c r="K45" i="9" l="1"/>
  <c r="J45" s="1"/>
  <c r="K46"/>
  <c r="J46" s="1"/>
  <c r="K6" i="5"/>
  <c r="J6" s="1"/>
  <c r="K7"/>
  <c r="J7" s="1"/>
  <c r="K9"/>
  <c r="F8" i="1"/>
  <c r="F10" s="1"/>
  <c r="M10" s="1"/>
  <c r="J9" i="5" l="1"/>
  <c r="I8" i="1"/>
  <c r="H8"/>
  <c r="L8"/>
  <c r="M8"/>
  <c r="K8"/>
  <c r="K10"/>
  <c r="L10"/>
  <c r="H10"/>
  <c r="I10"/>
  <c r="F11"/>
  <c r="M11" s="1"/>
  <c r="K11" l="1"/>
  <c r="L11"/>
  <c r="H11"/>
  <c r="I11"/>
  <c r="F12"/>
  <c r="F13" s="1"/>
  <c r="H13" l="1"/>
  <c r="K13"/>
  <c r="M13"/>
  <c r="I13"/>
  <c r="L13"/>
  <c r="I12"/>
  <c r="L12"/>
  <c r="H12"/>
  <c r="K12"/>
  <c r="M12"/>
  <c r="F14"/>
  <c r="F15" l="1"/>
  <c r="F16" s="1"/>
  <c r="I14"/>
  <c r="L14"/>
  <c r="H14"/>
  <c r="K14"/>
  <c r="M14"/>
  <c r="F17" l="1"/>
  <c r="I16"/>
  <c r="L16"/>
  <c r="H16"/>
  <c r="K16"/>
  <c r="M16"/>
  <c r="H15"/>
  <c r="K15"/>
  <c r="M15"/>
  <c r="I15"/>
  <c r="L15"/>
  <c r="F18" l="1"/>
  <c r="H17"/>
  <c r="K17"/>
  <c r="M17"/>
  <c r="I17"/>
  <c r="L17"/>
  <c r="M18" l="1"/>
  <c r="L18"/>
  <c r="I18"/>
  <c r="K18"/>
  <c r="F19"/>
  <c r="H18"/>
  <c r="I19" l="1"/>
  <c r="K19"/>
  <c r="K24" s="1"/>
  <c r="M19"/>
  <c r="L19"/>
  <c r="L24" s="1"/>
  <c r="L25" s="1"/>
  <c r="F23"/>
  <c r="I23" s="1"/>
  <c r="I24" s="1"/>
  <c r="I25" s="1"/>
  <c r="H19"/>
  <c r="M24"/>
  <c r="M25" s="1"/>
  <c r="A2" i="5" l="1"/>
  <c r="F24" i="1"/>
  <c r="H23"/>
  <c r="H24" s="1"/>
  <c r="K25"/>
  <c r="B7" i="5" l="1"/>
  <c r="B6"/>
  <c r="F25" i="1"/>
  <c r="M7" i="5"/>
  <c r="K44" i="9"/>
  <c r="J44" s="1"/>
  <c r="K5" i="5"/>
  <c r="C4" i="7" s="1"/>
  <c r="H25" i="1"/>
  <c r="J5" i="5" l="1"/>
  <c r="B5"/>
  <c r="B44" i="9"/>
  <c r="C8" i="7" l="1"/>
  <c r="F8" s="1"/>
  <c r="I8"/>
  <c r="H8" l="1"/>
  <c r="F10"/>
  <c r="M10" s="1"/>
  <c r="M8"/>
  <c r="L8"/>
  <c r="K8"/>
  <c r="H10" l="1"/>
  <c r="F11"/>
  <c r="K11" s="1"/>
  <c r="K10"/>
  <c r="I10"/>
  <c r="L10"/>
  <c r="L11" l="1"/>
  <c r="F12"/>
  <c r="K12" s="1"/>
  <c r="M11"/>
  <c r="H11"/>
  <c r="I11"/>
  <c r="I12"/>
  <c r="M12" l="1"/>
  <c r="H12"/>
  <c r="F13"/>
  <c r="I13" s="1"/>
  <c r="L12"/>
  <c r="H13" l="1"/>
  <c r="L13"/>
  <c r="M13"/>
  <c r="F14"/>
  <c r="K14" s="1"/>
  <c r="K13"/>
  <c r="M14" l="1"/>
  <c r="I14"/>
  <c r="H14"/>
  <c r="F15"/>
  <c r="I15" s="1"/>
  <c r="L14"/>
  <c r="H15" l="1"/>
  <c r="L15"/>
  <c r="M15"/>
  <c r="F16"/>
  <c r="K16" s="1"/>
  <c r="K15"/>
  <c r="I16"/>
  <c r="M16" l="1"/>
  <c r="H16"/>
  <c r="F17"/>
  <c r="I17" s="1"/>
  <c r="L16"/>
  <c r="L17" l="1"/>
  <c r="H17"/>
  <c r="F18"/>
  <c r="M18" s="1"/>
  <c r="M17"/>
  <c r="K17"/>
  <c r="I18" l="1"/>
  <c r="H18"/>
  <c r="F19"/>
  <c r="I19" s="1"/>
  <c r="L18"/>
  <c r="K18"/>
  <c r="M19"/>
  <c r="M25" s="1"/>
  <c r="M26" s="1"/>
  <c r="L19"/>
  <c r="K19"/>
  <c r="L25" l="1"/>
  <c r="L26" s="1"/>
  <c r="K25"/>
  <c r="K26" s="1"/>
  <c r="H19"/>
  <c r="F24"/>
  <c r="I24" s="1"/>
  <c r="I25" s="1"/>
  <c r="I26" s="1"/>
  <c r="F25" l="1"/>
  <c r="F26" s="1"/>
  <c r="H24"/>
  <c r="H25" s="1"/>
  <c r="J11" i="5" s="1"/>
  <c r="H26" i="7" l="1"/>
</calcChain>
</file>

<file path=xl/comments1.xml><?xml version="1.0" encoding="utf-8"?>
<comments xmlns="http://schemas.openxmlformats.org/spreadsheetml/2006/main">
  <authors>
    <author>X044507</author>
  </authors>
  <commentList>
    <comment ref="D5" authorId="0">
      <text>
        <r>
          <rPr>
            <sz val="10"/>
            <color indexed="81"/>
            <rFont val="Tahoma"/>
            <family val="2"/>
          </rPr>
          <t>Enter amounts here.</t>
        </r>
      </text>
    </comment>
    <comment ref="H5" authorId="0">
      <text>
        <r>
          <rPr>
            <sz val="10"/>
            <color indexed="81"/>
            <rFont val="Tahoma"/>
            <family val="2"/>
          </rPr>
          <t>Locked.</t>
        </r>
        <r>
          <rPr>
            <sz val="8"/>
            <color indexed="81"/>
            <rFont val="Tahoma"/>
            <family val="2"/>
          </rPr>
          <t xml:space="preserve">
</t>
        </r>
      </text>
    </comment>
    <comment ref="L5" authorId="0">
      <text>
        <r>
          <rPr>
            <sz val="10"/>
            <color indexed="81"/>
            <rFont val="Tahoma"/>
            <family val="2"/>
          </rPr>
          <t>List children in the business FIRST
 (1 or 2 max).</t>
        </r>
      </text>
    </comment>
    <comment ref="B6" authorId="0">
      <text>
        <r>
          <rPr>
            <sz val="8"/>
            <color indexed="81"/>
            <rFont val="Tahoma"/>
            <family val="2"/>
          </rPr>
          <t>Locked.</t>
        </r>
      </text>
    </comment>
    <comment ref="B7" authorId="0">
      <text>
        <r>
          <rPr>
            <sz val="8"/>
            <color indexed="81"/>
            <rFont val="Tahoma"/>
            <family val="2"/>
          </rPr>
          <t xml:space="preserve">Locked.
</t>
        </r>
      </text>
    </comment>
    <comment ref="L15" authorId="0">
      <text>
        <r>
          <rPr>
            <b/>
            <sz val="10"/>
            <color indexed="81"/>
            <rFont val="Calibri"/>
            <family val="2"/>
            <scheme val="minor"/>
          </rPr>
          <t xml:space="preserve">INPUT </t>
        </r>
        <r>
          <rPr>
            <sz val="10"/>
            <color indexed="81"/>
            <rFont val="Calibri"/>
            <family val="2"/>
            <scheme val="minor"/>
          </rPr>
          <t xml:space="preserve">assets, assumptions and children's names, listing a maximum of 2 children in the business FIRST, then the children outside the business.
</t>
        </r>
        <r>
          <rPr>
            <b/>
            <sz val="10"/>
            <color indexed="81"/>
            <rFont val="Calibri"/>
            <family val="2"/>
            <scheme val="minor"/>
          </rPr>
          <t>THEN</t>
        </r>
        <r>
          <rPr>
            <sz val="10"/>
            <color indexed="81"/>
            <rFont val="Calibri"/>
            <family val="2"/>
            <scheme val="minor"/>
          </rPr>
          <t xml:space="preserve"> preview the Current Distribution sheet where you can see the potential UNEQUAL distrbution of the estate.  You have a few options available on the Current Distribution sheet.  Transfer existing life insurance, block assets from Uncle Sam or even manually add new life insurance.
</t>
        </r>
        <r>
          <rPr>
            <b/>
            <sz val="10"/>
            <color indexed="81"/>
            <rFont val="Calibri"/>
            <family val="2"/>
            <scheme val="minor"/>
          </rPr>
          <t xml:space="preserve">THEN </t>
        </r>
        <r>
          <rPr>
            <sz val="10"/>
            <color indexed="81"/>
            <rFont val="Calibri"/>
            <family val="2"/>
            <scheme val="minor"/>
          </rPr>
          <t xml:space="preserve">select 1 of 2 options on the Option sheet.  NOT BOTH.  This allows for 2 different types of life insurance solves.  [1] Bequest and Equalize, or [2] Buy life ins for estate liquidity and establish a unilateral buy sell arrangement funding with life insurance.
</t>
        </r>
        <r>
          <rPr>
            <b/>
            <sz val="10"/>
            <color indexed="81"/>
            <rFont val="Calibri"/>
            <family val="2"/>
            <scheme val="minor"/>
          </rPr>
          <t>THEN</t>
        </r>
        <r>
          <rPr>
            <sz val="10"/>
            <color indexed="81"/>
            <rFont val="Calibri"/>
            <family val="2"/>
            <scheme val="minor"/>
          </rPr>
          <t xml:space="preserve"> preview the Proposed Distribution.
</t>
        </r>
        <r>
          <rPr>
            <b/>
            <sz val="10"/>
            <color indexed="81"/>
            <rFont val="Calibri"/>
            <family val="2"/>
            <scheme val="minor"/>
          </rPr>
          <t>To Print</t>
        </r>
        <r>
          <rPr>
            <sz val="10"/>
            <color indexed="81"/>
            <rFont val="Calibri"/>
            <family val="2"/>
            <scheme val="minor"/>
          </rPr>
          <t>, look below for bubble help in the instruction cell.</t>
        </r>
      </text>
    </comment>
    <comment ref="L16" authorId="0">
      <text>
        <r>
          <rPr>
            <b/>
            <sz val="10"/>
            <color indexed="10"/>
            <rFont val="Calibri"/>
            <family val="2"/>
            <scheme val="minor"/>
          </rPr>
          <t>HELP</t>
        </r>
        <r>
          <rPr>
            <b/>
            <sz val="10"/>
            <color indexed="81"/>
            <rFont val="Calibri"/>
            <family val="2"/>
            <scheme val="minor"/>
          </rPr>
          <t xml:space="preserve"> - Contact Robert Karl, CPA* at robert.karl@pruden tial.com 973-802-7338.
Entering Data</t>
        </r>
        <r>
          <rPr>
            <sz val="10"/>
            <color indexed="81"/>
            <rFont val="Calibri"/>
            <family val="2"/>
            <scheme val="minor"/>
          </rPr>
          <t xml:space="preserve"> - Besides the ASSETS, the white box fields are variable input fields, except for the life insurance fields which are locked.
</t>
        </r>
        <r>
          <rPr>
            <b/>
            <sz val="10"/>
            <color indexed="81"/>
            <rFont val="Calibri"/>
            <family val="2"/>
            <scheme val="minor"/>
          </rPr>
          <t>To Print</t>
        </r>
        <r>
          <rPr>
            <sz val="10"/>
            <color indexed="81"/>
            <rFont val="Calibri"/>
            <family val="2"/>
            <scheme val="minor"/>
          </rPr>
          <t xml:space="preserve"> - click Office Button; click Print; select printer; within (Print What) Select Entire Workbook; click OK.  All pages will print.  If you want to print only a specific page, don't select Entire Workbook.
</t>
        </r>
        <r>
          <rPr>
            <b/>
            <sz val="10"/>
            <color indexed="81"/>
            <rFont val="Calibri"/>
            <family val="2"/>
            <scheme val="minor"/>
          </rPr>
          <t xml:space="preserve">Input Screen </t>
        </r>
        <r>
          <rPr>
            <sz val="10"/>
            <color indexed="81"/>
            <rFont val="Calibri"/>
            <family val="2"/>
            <scheme val="minor"/>
          </rPr>
          <t xml:space="preserve">- Input data here, then preview the Current Distribution Screen. 
On the Current Distribution screen, you can manually add additional life insurance and transfer existing life insurance owned within the estate to an ILIT.  
Any estate taxes will first be covered by the ILIT, personal insurance and assets before being distributed to the children.  You can block an asset from going to Uncle Sam by checking the O/R box.
</t>
        </r>
        <r>
          <rPr>
            <b/>
            <sz val="10"/>
            <color indexed="81"/>
            <rFont val="Calibri"/>
            <family val="2"/>
            <scheme val="minor"/>
          </rPr>
          <t>Fact Sheet</t>
        </r>
        <r>
          <rPr>
            <sz val="10"/>
            <color indexed="81"/>
            <rFont val="Calibri"/>
            <family val="2"/>
            <scheme val="minor"/>
          </rPr>
          <t xml:space="preserve"> is optional and can be hidden so it won't print.  Right click on the Fact Sheet tab and select HIDE.  To un hide, Right click on any tab and select un-hide.
</t>
        </r>
        <r>
          <rPr>
            <b/>
            <sz val="10"/>
            <color indexed="81"/>
            <rFont val="Calibri"/>
            <family val="2"/>
            <scheme val="minor"/>
          </rPr>
          <t>*</t>
        </r>
        <r>
          <rPr>
            <sz val="10"/>
            <color indexed="81"/>
            <rFont val="Calibri"/>
            <family val="2"/>
            <scheme val="minor"/>
          </rPr>
          <t xml:space="preserve"> Does not represent Prudential in the practice of accountancy. </t>
        </r>
      </text>
    </comment>
    <comment ref="B21" authorId="0">
      <text>
        <r>
          <rPr>
            <sz val="8"/>
            <color indexed="81"/>
            <rFont val="Tahoma"/>
            <family val="2"/>
          </rPr>
          <t>Checking the box above will allocate these assets to the children in the business.
Other non-business assets generally flow to other children, not in the business, though non-business assets can be Optionally over ridden and distributed equally.</t>
        </r>
      </text>
    </comment>
    <comment ref="H23" authorId="0">
      <text>
        <r>
          <rPr>
            <sz val="8"/>
            <color indexed="81"/>
            <rFont val="Tahoma"/>
            <family val="2"/>
          </rPr>
          <t>These options impact how Insurance/assets are distributed.  Depending on the mix of assets, you may allocate all insurance and non business assets to children outside of the business to help minimize the life insurance need.</t>
        </r>
      </text>
    </comment>
    <comment ref="H24" authorId="0">
      <text>
        <r>
          <rPr>
            <sz val="8"/>
            <color indexed="81"/>
            <rFont val="Tahoma"/>
            <family val="2"/>
          </rPr>
          <t>Check TRUE, if ILIT, including new life insurance, should be distributed equally to all children.  Check FALSE if only the children outside the business plus Uncle Sam should share in the ILIT death benefit.</t>
        </r>
      </text>
    </comment>
    <comment ref="H25" authorId="0">
      <text>
        <r>
          <rPr>
            <sz val="9"/>
            <color indexed="81"/>
            <rFont val="Tahoma"/>
            <family val="2"/>
          </rPr>
          <t>Check TRUE, if life insurance owned within the estate should be distributed equally to all children.  Check FALSE if only the children outside the business plus Uncle Sam should share in the ILIT death benefit.</t>
        </r>
      </text>
    </comment>
    <comment ref="H26" authorId="0">
      <text>
        <r>
          <rPr>
            <sz val="8"/>
            <color indexed="81"/>
            <rFont val="Tahoma"/>
            <family val="2"/>
          </rPr>
          <t>If children in business are going to "buy" the business, then all estate assets and life insurance could be distributed equally to all.</t>
        </r>
      </text>
    </comment>
    <comment ref="H27" authorId="0">
      <text>
        <r>
          <rPr>
            <sz val="8"/>
            <color indexed="81"/>
            <rFont val="Tahoma"/>
            <family val="2"/>
          </rPr>
          <t xml:space="preserve">Check TRUE to provide a gross business value to each child outside the business.  Un-check FALSE to provide a proportional share to each outside the businss.
</t>
        </r>
        <r>
          <rPr>
            <b/>
            <sz val="8"/>
            <color indexed="81"/>
            <rFont val="Tahoma"/>
            <family val="2"/>
          </rPr>
          <t>Example</t>
        </r>
        <r>
          <rPr>
            <sz val="8"/>
            <color indexed="81"/>
            <rFont val="Tahoma"/>
            <family val="2"/>
          </rPr>
          <t xml:space="preserve"> - 5 children and a $5 million business, with 2 children in the business.  A funded buy sell arrangement could be created to provide $5 million to each sibling (gross) or only $1 million (proportional share) to each sibling outside the business. 
Providing a Gross value to all children will required more life insruance, be more costly and may not be able to be underwritten, depending on the value of the business.
</t>
        </r>
      </text>
    </comment>
    <comment ref="A29" authorId="0">
      <text>
        <r>
          <rPr>
            <sz val="8"/>
            <color indexed="81"/>
            <rFont val="Tahoma"/>
            <family val="2"/>
          </rPr>
          <t>If death occurs in 2011 or 2012, the Applicable Exclusion Amount will be overridden to 5,000,000 in 2011 and 5,000,000 with inflation in 2012.</t>
        </r>
      </text>
    </comment>
  </commentList>
</comments>
</file>

<file path=xl/comments2.xml><?xml version="1.0" encoding="utf-8"?>
<comments xmlns="http://schemas.openxmlformats.org/spreadsheetml/2006/main">
  <authors>
    <author>X044507</author>
  </authors>
  <commentList>
    <comment ref="B4" authorId="0">
      <text>
        <r>
          <rPr>
            <sz val="8"/>
            <color indexed="81"/>
            <rFont val="Tahoma"/>
            <family val="2"/>
          </rPr>
          <t xml:space="preserve">Input Existing Insurance in an ILIT or Manually input a "suggested" amount.  Then you can toggle the amount ON and OFF with the checkbox.
</t>
        </r>
      </text>
    </comment>
  </commentList>
</comments>
</file>

<file path=xl/comments3.xml><?xml version="1.0" encoding="utf-8"?>
<comments xmlns="http://schemas.openxmlformats.org/spreadsheetml/2006/main">
  <authors>
    <author>X044507</author>
  </authors>
  <commentList>
    <comment ref="I3" authorId="0">
      <text>
        <r>
          <rPr>
            <sz val="8"/>
            <color indexed="81"/>
            <rFont val="Tahoma"/>
            <family val="2"/>
          </rPr>
          <t xml:space="preserve">To pick another option, Un-check any check marks FIRST, then re-check the other option.
</t>
        </r>
        <r>
          <rPr>
            <b/>
            <sz val="8"/>
            <color indexed="81"/>
            <rFont val="Tahoma"/>
            <family val="2"/>
          </rPr>
          <t>IMPORTANT.</t>
        </r>
        <r>
          <rPr>
            <sz val="8"/>
            <color indexed="81"/>
            <rFont val="Tahoma"/>
            <family val="2"/>
          </rPr>
          <t xml:space="preserve">  Only have 1 option checked before previewing the Proposed Distribution sheet.</t>
        </r>
      </text>
    </comment>
    <comment ref="J5" authorId="0">
      <text>
        <r>
          <rPr>
            <sz val="8"/>
            <color indexed="81"/>
            <rFont val="Tahoma"/>
            <family val="2"/>
          </rPr>
          <t>Amount flows to Estate Liquidity Need [A] to cover potential estate taxes and equalization needs.</t>
        </r>
      </text>
    </comment>
    <comment ref="J8" authorId="0">
      <text>
        <r>
          <rPr>
            <sz val="8"/>
            <color indexed="81"/>
            <rFont val="Tahoma"/>
            <family val="2"/>
          </rPr>
          <t>The life insurance amounts from these 2 options will AUTOMATICALLY flow to the Proposed Distribution Sheet in 2 different areas [A] and [B].  The amount from Option 1  flows only to [A].  The  life insurance amounts from Option 2 are splits into 2 amounts, an ILIT for estate liquidity [A] and a unilateral buy sell for the business portion [B].
Option 1 will fully equalize all family members, Option 2 will not fully equalize all family members, depending on the mix of other assets.
Non business assets flow automatically to the children outside the business, but you can override that and distribute non business assets equally to all children.  To override the distribution, see the Options on the Input screen.
Also below, you can optionally ADD or SUBTRACT additional life insurance to the calculations that automatically flow.  To ADD or SUBTRACT an amount from either [A] or [B], enter an amount below.  The DIFFERENCE in equalization that exists between the children in the business and the children outside the business is also shown below.  This amount will generally be zero if Option 1 is selected.  For Option 2, if you enter this amount as an ADDITION or SUBTRACTION, you'll equalize all children in Option 2.</t>
        </r>
      </text>
    </comment>
    <comment ref="J12" authorId="0">
      <text>
        <r>
          <rPr>
            <sz val="8"/>
            <color indexed="81"/>
            <rFont val="Tahoma"/>
            <family val="2"/>
          </rPr>
          <t>Input fields for ADDITIONAL insurance.  Amounts above will automatically fund the Proposed Distribution scenario.
If there is more than 1 child outside the business, the worksheet will multiply the input amount by the # of kids outside the business.
If you input additional insurance here and THEN change the option above, remembr to ZERO this out.</t>
        </r>
      </text>
    </comment>
    <comment ref="J13" authorId="0">
      <text>
        <r>
          <rPr>
            <sz val="8"/>
            <color indexed="81"/>
            <rFont val="Tahoma"/>
            <family val="2"/>
          </rPr>
          <t>Input fields for ADJUSTING the insurance amount.  Amounts above will automatically fund the Proposed Distribution scenario.
If there is more than 1 child outside the business, the worksheet will multiply the input amount by the # of kids outside the business.
If you input additional insurance here and THEN change the option above, remembr to ZERO this out.</t>
        </r>
      </text>
    </comment>
  </commentList>
</comments>
</file>

<file path=xl/comments4.xml><?xml version="1.0" encoding="utf-8"?>
<comments xmlns="http://schemas.openxmlformats.org/spreadsheetml/2006/main">
  <authors>
    <author>X044507</author>
  </authors>
  <commentList>
    <comment ref="B4" authorId="0">
      <text>
        <r>
          <rPr>
            <sz val="8"/>
            <color indexed="81"/>
            <rFont val="Tahoma"/>
            <family val="2"/>
          </rPr>
          <t>The life insurance amount selected on Options Screen will FILL here.  You can then include or exclude it in the ILIT with the checkbox.</t>
        </r>
      </text>
    </comment>
    <comment ref="E6" authorId="0">
      <text>
        <r>
          <rPr>
            <sz val="8"/>
            <color indexed="81"/>
            <rFont val="Tahoma"/>
            <family val="2"/>
          </rPr>
          <t>Override automatic distribution to Uncle Sam.  In essence, block it and distribute asset to children.</t>
        </r>
      </text>
    </comment>
    <comment ref="F6" authorId="0">
      <text>
        <r>
          <rPr>
            <sz val="8"/>
            <color indexed="81"/>
            <rFont val="Tahoma"/>
            <family val="2"/>
          </rPr>
          <t>Uncle Sam gets paid first.</t>
        </r>
      </text>
    </comment>
    <comment ref="B8" authorId="0">
      <text>
        <r>
          <rPr>
            <sz val="8"/>
            <color indexed="81"/>
            <rFont val="Tahoma"/>
            <family val="2"/>
          </rPr>
          <t>Existing ILIT + transferred life insurance from the estate + add'l insurance manually added in Current Scenario.</t>
        </r>
      </text>
    </comment>
  </commentList>
</comments>
</file>

<file path=xl/sharedStrings.xml><?xml version="1.0" encoding="utf-8"?>
<sst xmlns="http://schemas.openxmlformats.org/spreadsheetml/2006/main" count="194" uniqueCount="156">
  <si>
    <t>Cash Equivalents</t>
  </si>
  <si>
    <t>Residence</t>
  </si>
  <si>
    <t>Life Insurance in Estate</t>
  </si>
  <si>
    <t>Taxable Estate</t>
  </si>
  <si>
    <t>Gross Estate</t>
  </si>
  <si>
    <t xml:space="preserve">     Estate Taxes</t>
  </si>
  <si>
    <t>Uncle Sam</t>
  </si>
  <si>
    <t>(Max of 2)</t>
  </si>
  <si>
    <t>NQ Investments</t>
  </si>
  <si>
    <t xml:space="preserve">          % of Distributible Estate</t>
  </si>
  <si>
    <t>#3</t>
  </si>
  <si>
    <t>#4</t>
  </si>
  <si>
    <t>#5</t>
  </si>
  <si>
    <t># of Children in the Business?</t>
  </si>
  <si>
    <t>Estate Exclusion Amount?</t>
  </si>
  <si>
    <t>Estate Tax Rate?</t>
  </si>
  <si>
    <t>Total Children?</t>
  </si>
  <si>
    <t>ILIT Beneficiaries - All Children?</t>
  </si>
  <si>
    <t>Use ILIT for Estate Taxes?</t>
  </si>
  <si>
    <t>Children        #1</t>
  </si>
  <si>
    <t>Names?       #2</t>
  </si>
  <si>
    <t>Married?</t>
  </si>
  <si>
    <t>Distributible Estate (after-tax)</t>
  </si>
  <si>
    <t>Parent(s)</t>
  </si>
  <si>
    <t>Probate &amp; other administrative costs have been excluded for simplicity.  Assets with liabilities are shown NET of liabilities.  Joint property assumed re-titled as Tenents in Common, if necessary, to allow 1/2 for Family Trust at 1st Death.  Prior taxable gifts assumed to be zero.  State estate and inheritance taxes not considered.  Income in respect of a decedent on qualified plans and IRAs are not considered.  Life insurance in the estate is assumed first available to pay estate taxes.  Life insurance owned outside estate optionally available for estate taxes through loans from the trust beneficiaries.</t>
  </si>
  <si>
    <t>Family Business</t>
  </si>
  <si>
    <t>Land</t>
  </si>
  <si>
    <t>O/R</t>
  </si>
  <si>
    <t>Personal Property</t>
  </si>
  <si>
    <t>IRAs to Beneficiaries</t>
  </si>
  <si>
    <t>Estate Equalization</t>
  </si>
  <si>
    <t>(A life insurance trust (ILIT) can provide liquidity to the estate by purchasing assets or loaning cash.)</t>
  </si>
  <si>
    <t>ESTATE</t>
  </si>
  <si>
    <t>Life Insurance Issues:</t>
  </si>
  <si>
    <t xml:space="preserve">We offer you this concept piece to help you understand how life insurance can be used to help provide funds for estate liquidity.  This material contains references to concepts that have legal, accounting and tax implications.  It is not intended as legal, accounting or tax advice.  Consult your own attorney and/or tax advisor for advice regarding your particular situation.  Accordingly, any information in this document cannot be used by any taxpayer for purposes of avoiding penalties under the Internal Revenue Code.  All charts and graphs used in this presentation are for hypothetical purposes only.  Individual circumstances will vary.  </t>
  </si>
  <si>
    <t xml:space="preserve">     Potential Options:</t>
  </si>
  <si>
    <t>Prudential, the Prudential logo and the Rock symbol are service marks of Prudential Financial, Inc. and its related entities.</t>
  </si>
  <si>
    <r>
      <t xml:space="preserve">Equalization </t>
    </r>
    <r>
      <rPr>
        <vertAlign val="superscript"/>
        <sz val="10"/>
        <rFont val="Calibri"/>
        <family val="2"/>
        <scheme val="minor"/>
      </rPr>
      <t>1</t>
    </r>
    <r>
      <rPr>
        <sz val="10"/>
        <rFont val="Calibri"/>
        <family val="2"/>
        <scheme val="minor"/>
      </rPr>
      <t xml:space="preserve"> Estate Taxes at Your Death </t>
    </r>
    <r>
      <rPr>
        <vertAlign val="superscript"/>
        <sz val="10"/>
        <rFont val="Calibri"/>
        <family val="2"/>
        <scheme val="minor"/>
      </rPr>
      <t>1,2</t>
    </r>
    <r>
      <rPr>
        <sz val="10"/>
        <rFont val="Calibri"/>
        <family val="2"/>
        <scheme val="minor"/>
      </rPr>
      <t xml:space="preserve"> Survivor Income Needs </t>
    </r>
    <r>
      <rPr>
        <vertAlign val="superscript"/>
        <sz val="10"/>
        <rFont val="Calibri"/>
        <family val="2"/>
        <scheme val="minor"/>
      </rPr>
      <t>1</t>
    </r>
  </si>
  <si>
    <r>
      <t xml:space="preserve">Equalization </t>
    </r>
    <r>
      <rPr>
        <vertAlign val="superscript"/>
        <sz val="10"/>
        <rFont val="Calibri"/>
        <family val="2"/>
        <scheme val="minor"/>
      </rPr>
      <t>2</t>
    </r>
    <r>
      <rPr>
        <sz val="10"/>
        <rFont val="Calibri"/>
        <family val="2"/>
        <scheme val="minor"/>
      </rPr>
      <t xml:space="preserve"> Estate Taxes at Survivors Death </t>
    </r>
    <r>
      <rPr>
        <vertAlign val="superscript"/>
        <sz val="10"/>
        <rFont val="Calibri"/>
        <family val="2"/>
        <scheme val="minor"/>
      </rPr>
      <t>2</t>
    </r>
  </si>
  <si>
    <r>
      <rPr>
        <vertAlign val="superscript"/>
        <sz val="10"/>
        <rFont val="Calibri"/>
        <family val="2"/>
        <scheme val="minor"/>
      </rPr>
      <t>1</t>
    </r>
    <r>
      <rPr>
        <sz val="10"/>
        <rFont val="Calibri"/>
        <family val="2"/>
        <scheme val="minor"/>
      </rPr>
      <t xml:space="preserve"> Single life insurance; </t>
    </r>
    <r>
      <rPr>
        <vertAlign val="superscript"/>
        <sz val="10"/>
        <rFont val="Calibri"/>
        <family val="2"/>
        <scheme val="minor"/>
      </rPr>
      <t>2</t>
    </r>
    <r>
      <rPr>
        <sz val="10"/>
        <rFont val="Calibri"/>
        <family val="2"/>
        <scheme val="minor"/>
      </rPr>
      <t xml:space="preserve"> Survivorship insurance</t>
    </r>
  </si>
  <si>
    <r>
      <rPr>
        <sz val="12"/>
        <color theme="1" tint="0.249977111117893"/>
        <rFont val="Calibri"/>
        <family val="2"/>
        <scheme val="minor"/>
      </rPr>
      <t>©</t>
    </r>
    <r>
      <rPr>
        <sz val="10"/>
        <color theme="1" tint="0.249977111117893"/>
        <rFont val="Calibri"/>
        <family val="2"/>
        <scheme val="minor"/>
      </rPr>
      <t xml:space="preserve"> 2011 All Rights Reserved, The Prudential Insurance Company of America, 751 Broad Street, Newark, NJ  07102-3777</t>
    </r>
  </si>
  <si>
    <r>
      <t xml:space="preserve">Assumptions </t>
    </r>
    <r>
      <rPr>
        <u/>
        <sz val="10"/>
        <rFont val="Calibri"/>
        <family val="2"/>
        <scheme val="minor"/>
      </rPr>
      <t>(Input Fields are Bold)</t>
    </r>
  </si>
  <si>
    <t>ILIT (Life ins. outside estate)</t>
  </si>
  <si>
    <r>
      <t xml:space="preserve">Equalization </t>
    </r>
    <r>
      <rPr>
        <vertAlign val="superscript"/>
        <sz val="10"/>
        <rFont val="Calibri"/>
        <family val="2"/>
        <scheme val="minor"/>
      </rPr>
      <t>2</t>
    </r>
    <r>
      <rPr>
        <sz val="10"/>
        <rFont val="Calibri"/>
        <family val="2"/>
        <scheme val="minor"/>
      </rPr>
      <t xml:space="preserve"> Estate Taxes at Survivors Death </t>
    </r>
    <r>
      <rPr>
        <vertAlign val="superscript"/>
        <sz val="10"/>
        <rFont val="Calibri"/>
        <family val="2"/>
        <scheme val="minor"/>
      </rPr>
      <t xml:space="preserve">2 </t>
    </r>
    <r>
      <rPr>
        <sz val="10"/>
        <rFont val="Calibri"/>
        <family val="2"/>
        <scheme val="minor"/>
      </rPr>
      <t xml:space="preserve">Purchase Reimbursement </t>
    </r>
    <r>
      <rPr>
        <vertAlign val="superscript"/>
        <sz val="10"/>
        <rFont val="Calibri"/>
        <family val="2"/>
        <scheme val="minor"/>
      </rPr>
      <t>1</t>
    </r>
  </si>
  <si>
    <r>
      <t xml:space="preserve">Equalization </t>
    </r>
    <r>
      <rPr>
        <vertAlign val="superscript"/>
        <sz val="10"/>
        <rFont val="Calibri"/>
        <family val="2"/>
        <scheme val="minor"/>
      </rPr>
      <t>2</t>
    </r>
    <r>
      <rPr>
        <sz val="10"/>
        <rFont val="Calibri"/>
        <family val="2"/>
        <scheme val="minor"/>
      </rPr>
      <t xml:space="preserve"> Estate Taxes at Survivors Death </t>
    </r>
    <r>
      <rPr>
        <vertAlign val="superscript"/>
        <sz val="10"/>
        <rFont val="Calibri"/>
        <family val="2"/>
        <scheme val="minor"/>
      </rPr>
      <t xml:space="preserve">2 </t>
    </r>
    <r>
      <rPr>
        <sz val="10"/>
        <rFont val="Calibri"/>
        <family val="2"/>
        <scheme val="minor"/>
      </rPr>
      <t xml:space="preserve">Purchase Reimbursement </t>
    </r>
    <r>
      <rPr>
        <vertAlign val="superscript"/>
        <sz val="10"/>
        <rFont val="Calibri"/>
        <family val="2"/>
        <scheme val="minor"/>
      </rPr>
      <t>2</t>
    </r>
  </si>
  <si>
    <t xml:space="preserve">     1st Death Distributions - Non Marital</t>
  </si>
  <si>
    <t>Business Distribution Options…When and to Whom Matters</t>
  </si>
  <si>
    <t>ILIT (Life Insurance Outside Estate) *</t>
  </si>
  <si>
    <t>Current Estate Distribution</t>
  </si>
  <si>
    <t>Proposed Estate Distribution</t>
  </si>
  <si>
    <t>ü</t>
  </si>
  <si>
    <t>Allow child(ren) in business to buy business at your retirement via an installment sale.  Child(ren) in business buy a single life key person policy on your life, owned by business.  Key Person insurance used at your death to reimburse a portion of the installment payments and or provide liquidity for remaining installment payments.</t>
  </si>
  <si>
    <t>Recapitalize business, 1% voting, 99% non voting.  Bequest 1% (voting) to child(ren) in business at 1st death, bequest 99% non voting shares to the surviving spouse, who at their subsequent death can bequest the non voting shares equally to all children at their death.  Create a buysell agreement for the child(ren) in the business to buyout non voting shares of other children not in business at the death of your suviving spouse.</t>
  </si>
  <si>
    <t>Growth Rate</t>
  </si>
  <si>
    <t>Assumptions</t>
  </si>
  <si>
    <t>Current Year</t>
  </si>
  <si>
    <t>#1</t>
  </si>
  <si>
    <t>#2</t>
  </si>
  <si>
    <t>Enter Maximum of 2 Children (In the Business) in fields #1, and #2, if applicable.</t>
  </si>
  <si>
    <t>Equalizing with Life Insurance</t>
  </si>
  <si>
    <t xml:space="preserve">    Total Business Value(s)</t>
  </si>
  <si>
    <t xml:space="preserve">    Total Estate plus Life Ins in Estate</t>
  </si>
  <si>
    <t>Check Box if a Business Asset?</t>
  </si>
  <si>
    <t>Assets &amp; Life Insurance</t>
  </si>
  <si>
    <t>Will Your Distribution of the Family Business Split-Up Your Family?</t>
  </si>
  <si>
    <t>Override</t>
  </si>
  <si>
    <t>Current Estate</t>
  </si>
  <si>
    <t>Growth Yrs</t>
  </si>
  <si>
    <t>Top Tax Rate</t>
  </si>
  <si>
    <t>Married</t>
  </si>
  <si>
    <r>
      <rPr>
        <sz val="9"/>
        <rFont val="Calibri"/>
        <family val="2"/>
        <scheme val="minor"/>
      </rPr>
      <t xml:space="preserve">Hypo. </t>
    </r>
    <r>
      <rPr>
        <sz val="9"/>
        <color theme="1" tint="0.249977111117893"/>
        <rFont val="Calibri"/>
        <family val="2"/>
        <scheme val="minor"/>
      </rPr>
      <t>Exclusion</t>
    </r>
  </si>
  <si>
    <t>Inflation</t>
  </si>
  <si>
    <r>
      <t xml:space="preserve">2013+ </t>
    </r>
    <r>
      <rPr>
        <b/>
        <sz val="9"/>
        <color theme="0"/>
        <rFont val="Calibri"/>
        <family val="2"/>
        <scheme val="minor"/>
      </rPr>
      <t>"Hypothetical"</t>
    </r>
    <r>
      <rPr>
        <sz val="9"/>
        <color theme="0"/>
        <rFont val="Calibri"/>
        <family val="2"/>
        <scheme val="minor"/>
      </rPr>
      <t xml:space="preserve"> Estate Tax Table</t>
    </r>
  </si>
  <si>
    <r>
      <t xml:space="preserve">2013+ </t>
    </r>
    <r>
      <rPr>
        <b/>
        <sz val="9"/>
        <color theme="0"/>
        <rFont val="Calibri"/>
        <family val="2"/>
        <scheme val="minor"/>
      </rPr>
      <t>"Hypothetical"</t>
    </r>
    <r>
      <rPr>
        <sz val="9"/>
        <color theme="0"/>
        <rFont val="Calibri"/>
        <family val="2"/>
        <scheme val="minor"/>
      </rPr>
      <t xml:space="preserve"> Estate Tax Law</t>
    </r>
  </si>
  <si>
    <t xml:space="preserve"> Year of Death:</t>
  </si>
  <si>
    <t>Infla %</t>
  </si>
  <si>
    <t xml:space="preserve"> App. Exclusion</t>
  </si>
  <si>
    <t>Ave %</t>
  </si>
  <si>
    <t xml:space="preserve"> Gross Tax</t>
  </si>
  <si>
    <t xml:space="preserve"> Unified Credit</t>
  </si>
  <si>
    <t xml:space="preserve"> Net Estate Tax</t>
  </si>
  <si>
    <t>Family Business (S Corp)</t>
  </si>
  <si>
    <t xml:space="preserve">     Family Trust/Portability (1st Death)</t>
  </si>
  <si>
    <t>Growth</t>
  </si>
  <si>
    <t>Projected Estate</t>
  </si>
  <si>
    <t>Facts and Assumptions</t>
  </si>
  <si>
    <t>Sam</t>
  </si>
  <si>
    <r>
      <t>(At first death, selected business assets or other assets may be allocated to a Family Trust or distributed outright to specific children.  Use O/R to block assets from Uncle Sam.</t>
    </r>
    <r>
      <rPr>
        <sz val="10"/>
        <rFont val="Calibri"/>
        <family val="2"/>
        <scheme val="minor"/>
      </rPr>
      <t>)</t>
    </r>
  </si>
  <si>
    <t>Options</t>
  </si>
  <si>
    <t>Does Insurance in ILIT Benefits All Children?</t>
  </si>
  <si>
    <t>Does Insurance in Estate Benefit All Children?</t>
  </si>
  <si>
    <t>Distribute All Non-Business Assets Equally to ALL</t>
  </si>
  <si>
    <t>Check Only 1</t>
  </si>
  <si>
    <t>Total Proj Bus Value</t>
  </si>
  <si>
    <t>business or businesses</t>
  </si>
  <si>
    <t>Total Proj Bus Value by Total Children (Unilateral BuySell)</t>
  </si>
  <si>
    <t xml:space="preserve"> ESTATE   </t>
  </si>
  <si>
    <r>
      <t xml:space="preserve">A </t>
    </r>
    <r>
      <rPr>
        <b/>
        <sz val="10"/>
        <rFont val="Calibri"/>
        <family val="2"/>
        <scheme val="minor"/>
      </rPr>
      <t>buy sell agreement</t>
    </r>
    <r>
      <rPr>
        <sz val="10"/>
        <rFont val="Calibri"/>
        <family val="2"/>
        <scheme val="minor"/>
      </rPr>
      <t xml:space="preserve"> can play a key role in transferring a family business to select children.  Though it can not be used to "peg" the value in a family situation, it plays an instrumental role in passing control of the business and providing the purchase options to those children in the business.</t>
    </r>
  </si>
  <si>
    <t>* A life insurance trust (ILIT) can provide liquidity to the estate by purchasing assets from the estate or loaning cash to the estate.</t>
  </si>
  <si>
    <t>Add Add'l to ILIT</t>
  </si>
  <si>
    <t>Transfer Existing Life Ins. In Estate to ILIT</t>
  </si>
  <si>
    <t xml:space="preserve">Manually ADD add'l Life Insurance to ILIT </t>
  </si>
  <si>
    <t>Existing Life Insurance in ILIT</t>
  </si>
  <si>
    <t>Existing Life Insurance in Estate</t>
  </si>
  <si>
    <t>Total Proj Bus Value by Total BUS Children (Unilateral BuySell)</t>
  </si>
  <si>
    <t>Replace GROSS Business Value to Each Child?</t>
  </si>
  <si>
    <t>Age of Business Owner #1</t>
  </si>
  <si>
    <t>Age of Business Owner #2 / Spouse</t>
  </si>
  <si>
    <t>Instructions</t>
  </si>
  <si>
    <t>Inflation Rate of Applicable Exclusion?</t>
  </si>
  <si>
    <t>Hypothetical Applicable Exclusion Amt?</t>
  </si>
  <si>
    <t>Hypothetical Estate Tax Rate?</t>
  </si>
  <si>
    <t>Current    Values?</t>
  </si>
  <si>
    <t>Projected Values</t>
  </si>
  <si>
    <t>Growth Rates?</t>
  </si>
  <si>
    <t>Children's Names?</t>
  </si>
  <si>
    <t>In Business</t>
  </si>
  <si>
    <t>Rental Real Estate</t>
  </si>
  <si>
    <t>Life insurance is issued by The Prudential Insurance Company of America and its affiliates.  All are Prudential Financial companies located in Newark, NJ, and each is solely responsible for its own financial condition and contractual obligations.  Life insurance policies contain exclusions, limitations, reductions of benefits and terms for keeping them in force.  Your financial professional can provide you with costs and complete details.  The availability of other products and services varies by carrier and state.</t>
  </si>
  <si>
    <t>Life Insurance Needs</t>
  </si>
  <si>
    <t>You've worked hard for many years to build your business.  It's been your livelihood.  Now hopefully it will continue to be the livelihood of one or more of your children, but you realize that there is another challenge that is perhaps as great as any you faced in establishing and growing your business.   That challenge is how to pass it to the next generation.  The liquidity and potential tax issues that you must resolve are difficult enough, but your situation is even more complicated because some of your children are directly involved in the business and others are not.  You may wish to treat all of your children equally, or at least fairly, but how can you do that if the business makes up the greatest portion of your estate?</t>
  </si>
  <si>
    <t>Option 2</t>
  </si>
  <si>
    <t>Option 3</t>
  </si>
  <si>
    <t>Bequest and Equalize with Life Insurance</t>
  </si>
  <si>
    <t>Equalize with a Unilateral Buy Sell Arrangement and Life Insurance</t>
  </si>
  <si>
    <t xml:space="preserve">     Then allow your children in the business the option to buyout their siblings non voting shares with a unilateral buy sell arrangement.</t>
  </si>
  <si>
    <r>
      <rPr>
        <sz val="10"/>
        <rFont val="ZapfDingbats"/>
        <family val="5"/>
        <charset val="2"/>
      </rPr>
      <t>l</t>
    </r>
    <r>
      <rPr>
        <sz val="10"/>
        <rFont val="Calibri"/>
        <family val="2"/>
        <scheme val="minor"/>
      </rPr>
      <t xml:space="preserve">  Bequest the business at your and your spouse's death.</t>
    </r>
  </si>
  <si>
    <r>
      <rPr>
        <sz val="10"/>
        <rFont val="ZapfDingbats"/>
        <family val="5"/>
        <charset val="2"/>
      </rPr>
      <t>l</t>
    </r>
    <r>
      <rPr>
        <sz val="10"/>
        <rFont val="Calibri"/>
        <family val="2"/>
        <scheme val="minor"/>
      </rPr>
      <t xml:space="preserve">  Sell business at your and your spouse's death.</t>
    </r>
  </si>
  <si>
    <r>
      <rPr>
        <sz val="10"/>
        <rFont val="ZapfDingbats"/>
        <family val="5"/>
        <charset val="2"/>
      </rPr>
      <t>l</t>
    </r>
    <r>
      <rPr>
        <sz val="10"/>
        <rFont val="Calibri"/>
        <family val="2"/>
        <scheme val="minor"/>
      </rPr>
      <t xml:space="preserve">  Recapitalize your business with voting and non voting interests.  Transfer voting interests to children in the business, and non voting interests equally to all. </t>
    </r>
  </si>
  <si>
    <r>
      <rPr>
        <sz val="10"/>
        <rFont val="ZapfDingbats"/>
        <family val="5"/>
        <charset val="2"/>
      </rPr>
      <t>l</t>
    </r>
    <r>
      <rPr>
        <sz val="10"/>
        <rFont val="Calibri"/>
        <family val="2"/>
        <scheme val="minor"/>
      </rPr>
      <t xml:space="preserve">  Bequest the business at your death.</t>
    </r>
  </si>
  <si>
    <r>
      <rPr>
        <sz val="10"/>
        <rFont val="ZapfDingbats"/>
        <family val="5"/>
        <charset val="2"/>
      </rPr>
      <t>l</t>
    </r>
    <r>
      <rPr>
        <sz val="10"/>
        <rFont val="Calibri"/>
        <family val="2"/>
        <scheme val="minor"/>
      </rPr>
      <t xml:space="preserve">  Sell business at your death or your spouse's death.</t>
    </r>
  </si>
  <si>
    <r>
      <rPr>
        <sz val="10"/>
        <rFont val="ZapfDingbats"/>
        <family val="5"/>
        <charset val="2"/>
      </rPr>
      <t>l</t>
    </r>
    <r>
      <rPr>
        <sz val="10"/>
        <rFont val="Calibri"/>
        <family val="2"/>
        <scheme val="minor"/>
      </rPr>
      <t xml:space="preserve">  Begin to Sell your business at retirement.</t>
    </r>
  </si>
  <si>
    <r>
      <rPr>
        <sz val="10"/>
        <rFont val="ZapfDingbats"/>
        <family val="5"/>
        <charset val="2"/>
      </rPr>
      <t>l</t>
    </r>
    <r>
      <rPr>
        <sz val="10"/>
        <rFont val="Calibri"/>
        <family val="2"/>
        <scheme val="minor"/>
      </rPr>
      <t xml:space="preserve">  Allow your children in the business to buyout the business with a unilateral buy sell arrangement.</t>
    </r>
  </si>
  <si>
    <t>Growth Rate? (override above)</t>
  </si>
  <si>
    <t>Projected Years?</t>
  </si>
  <si>
    <t>Comments</t>
  </si>
  <si>
    <t xml:space="preserve">     Suggested Life Insurance for Estate Tax and Estate Equalization.</t>
  </si>
  <si>
    <t xml:space="preserve">         Suggested Life Insurance for Unilateral Buy Sell.</t>
  </si>
  <si>
    <r>
      <rPr>
        <b/>
        <sz val="10"/>
        <rFont val="Calibri"/>
        <family val="2"/>
        <scheme val="minor"/>
      </rPr>
      <t>ADD or SUBTRACT</t>
    </r>
    <r>
      <rPr>
        <sz val="10"/>
        <rFont val="Calibri"/>
        <family val="2"/>
        <scheme val="minor"/>
      </rPr>
      <t xml:space="preserve"> additional life insurance to the Irrevocable Life Insurance Trust of………………………………………………………………………………………………………………………………………………………………………………………………………………………………………………………………………………………………….</t>
    </r>
  </si>
  <si>
    <r>
      <rPr>
        <b/>
        <sz val="10"/>
        <rFont val="Calibri"/>
        <family val="2"/>
        <scheme val="minor"/>
      </rPr>
      <t>ADD or SUBTRACT</t>
    </r>
    <r>
      <rPr>
        <sz val="10"/>
        <rFont val="Calibri"/>
        <family val="2"/>
        <scheme val="minor"/>
      </rPr>
      <t xml:space="preserve"> additional life insurance to the Unilateral Buy Sell (for EACH child outside business) ………………………………………………………………………………………………………………………………………………………………………………………………………………………………………………………………………………………………….</t>
    </r>
  </si>
  <si>
    <r>
      <rPr>
        <b/>
        <sz val="10"/>
        <rFont val="Calibri"/>
        <family val="2"/>
        <scheme val="minor"/>
      </rPr>
      <t>DIFFERENCE</t>
    </r>
    <r>
      <rPr>
        <sz val="10"/>
        <rFont val="Calibri"/>
        <family val="2"/>
        <scheme val="minor"/>
      </rPr>
      <t xml:space="preserve"> in distributable estate (children in business vs children outside business)………………………………………………………………………………………………………………………………………………………………………………………………………………………………………………………………………………………………….</t>
    </r>
  </si>
  <si>
    <t>Overview</t>
  </si>
  <si>
    <t>Funded           Buy Sell</t>
  </si>
  <si>
    <t>Distributing Your Business and Other Assets</t>
  </si>
  <si>
    <r>
      <rPr>
        <b/>
        <sz val="10"/>
        <rFont val="Calibri"/>
        <family val="2"/>
        <scheme val="minor"/>
      </rPr>
      <t>Important Tax Note</t>
    </r>
    <r>
      <rPr>
        <sz val="10"/>
        <rFont val="Calibri"/>
        <family val="2"/>
        <scheme val="minor"/>
      </rPr>
      <t xml:space="preserve"> - This analysis does not base estate tax calculattions on the current federal law but rather an assumed variation that might exist in the future should federal estate taxes be permanently reformed.  State estate and inheritance taxes, if applicable, are not considered.</t>
    </r>
  </si>
  <si>
    <t>A Solution may lie in the use of life insurance and determining when and how to transfer your business.</t>
  </si>
  <si>
    <t>Transferring a Family Business is Inherently Difficult</t>
  </si>
  <si>
    <t>(At first death, selected business assets or other assets may be allocated to a Family Trust or distributed outright to specific children, which can further complicate equalization.  Concerning Uncle Sam, existing life insurance and other assets will be used first to pay off Uncle Sam before others.  Use O/R to block assets from Uncle Sam.)</t>
  </si>
  <si>
    <r>
      <t>[</t>
    </r>
    <r>
      <rPr>
        <b/>
        <i/>
        <sz val="10"/>
        <rFont val="Calibri"/>
        <family val="2"/>
        <scheme val="minor"/>
      </rPr>
      <t>NOTE:</t>
    </r>
    <r>
      <rPr>
        <i/>
        <sz val="10"/>
        <rFont val="Calibri"/>
        <family val="2"/>
        <scheme val="minor"/>
      </rPr>
      <t xml:space="preserve">  Above calculated amounts (Options 1 &amp; 2) </t>
    </r>
    <r>
      <rPr>
        <i/>
        <u/>
        <sz val="10"/>
        <rFont val="Calibri"/>
        <family val="2"/>
        <scheme val="minor"/>
      </rPr>
      <t>automatically</t>
    </r>
    <r>
      <rPr>
        <i/>
        <sz val="10"/>
        <rFont val="Calibri"/>
        <family val="2"/>
        <scheme val="minor"/>
      </rPr>
      <t xml:space="preserve"> flow to the Proposed Distrbution scenario.  Don't enter below.  Enter only any additional below.]</t>
    </r>
  </si>
  <si>
    <t xml:space="preserve">  UNCLE SAM…GENERALLY GETS PAID FIRST</t>
  </si>
  <si>
    <t>Fact Sheet</t>
  </si>
  <si>
    <t>Enter Maximum of 2 Children in fields #1, and #2, if applicable.  Children in Business FIRST.</t>
  </si>
  <si>
    <t>Sarah</t>
  </si>
  <si>
    <t xml:space="preserve">0199933-00001-00  Ed. 04/11 Exp. 04/13  </t>
  </si>
  <si>
    <t>0199933</t>
  </si>
  <si>
    <r>
      <t>Survivorship Life Insurance -</t>
    </r>
    <r>
      <rPr>
        <sz val="11"/>
        <rFont val="Calibri"/>
        <family val="2"/>
        <scheme val="minor"/>
      </rPr>
      <t xml:space="preserve"> If you are married, survivorship life insurance insures both you and your spouse at a cost that is generally lower than purchasing a policy on just one spouse - but the death proceeds are not payable until the death of the surviving spouse.  Consider survivorship life insurance for payment of estate taxes or for estate equalization when estate taxes will be due, or business transfers to family members will occur, when both you and your spouse have died.  Also, consider purchasing any policy within an irrevocable life insurance trust to keep the death proceeds out of your taxable estate.</t>
    </r>
  </si>
</sst>
</file>

<file path=xl/styles.xml><?xml version="1.0" encoding="utf-8"?>
<styleSheet xmlns="http://schemas.openxmlformats.org/spreadsheetml/2006/main">
  <numFmts count="5">
    <numFmt numFmtId="43" formatCode="_(* #,##0.00_);_(* \(#,##0.00\);_(* &quot;-&quot;??_);_(@_)"/>
    <numFmt numFmtId="164" formatCode="[$$-409]#,##0"/>
    <numFmt numFmtId="165" formatCode="_(* #,##0_);_(* \(#,##0\);_(* &quot;-&quot;??_);_(@_)"/>
    <numFmt numFmtId="166" formatCode="m/d/yy;@"/>
    <numFmt numFmtId="167" formatCode="0.0%"/>
  </numFmts>
  <fonts count="67">
    <font>
      <sz val="12"/>
      <name val="Arial"/>
    </font>
    <font>
      <sz val="12"/>
      <name val="Arial"/>
      <family val="2"/>
    </font>
    <font>
      <sz val="8"/>
      <color theme="1"/>
      <name val="Calibri"/>
      <family val="2"/>
      <scheme val="minor"/>
    </font>
    <font>
      <sz val="8"/>
      <color theme="0"/>
      <name val="Calibri"/>
      <family val="2"/>
      <scheme val="minor"/>
    </font>
    <font>
      <sz val="10"/>
      <name val="Calibri"/>
      <family val="2"/>
      <scheme val="minor"/>
    </font>
    <font>
      <sz val="12"/>
      <name val="Calibri"/>
      <family val="2"/>
      <scheme val="minor"/>
    </font>
    <font>
      <sz val="16"/>
      <name val="Calibri"/>
      <family val="2"/>
      <scheme val="minor"/>
    </font>
    <font>
      <b/>
      <sz val="10"/>
      <color indexed="26"/>
      <name val="Calibri"/>
      <family val="2"/>
      <scheme val="minor"/>
    </font>
    <font>
      <sz val="7"/>
      <name val="Calibri"/>
      <family val="2"/>
      <scheme val="minor"/>
    </font>
    <font>
      <b/>
      <sz val="10"/>
      <color theme="0"/>
      <name val="Calibri"/>
      <family val="2"/>
      <scheme val="minor"/>
    </font>
    <font>
      <sz val="10"/>
      <color indexed="26"/>
      <name val="Calibri"/>
      <family val="2"/>
      <scheme val="minor"/>
    </font>
    <font>
      <b/>
      <sz val="10"/>
      <name val="Calibri"/>
      <family val="2"/>
      <scheme val="minor"/>
    </font>
    <font>
      <sz val="10"/>
      <color rgb="FF800000"/>
      <name val="Calibri"/>
      <family val="2"/>
      <scheme val="minor"/>
    </font>
    <font>
      <sz val="10"/>
      <color theme="0"/>
      <name val="Calibri"/>
      <family val="2"/>
      <scheme val="minor"/>
    </font>
    <font>
      <sz val="10"/>
      <color theme="1" tint="0.249977111117893"/>
      <name val="Calibri"/>
      <family val="2"/>
      <scheme val="minor"/>
    </font>
    <font>
      <sz val="12"/>
      <color theme="1" tint="0.249977111117893"/>
      <name val="Calibri"/>
      <family val="2"/>
      <scheme val="minor"/>
    </font>
    <font>
      <sz val="10"/>
      <color theme="1" tint="0.24994659260841701"/>
      <name val="Calibri"/>
      <family val="2"/>
      <scheme val="minor"/>
    </font>
    <font>
      <vertAlign val="superscript"/>
      <sz val="10"/>
      <name val="Calibri"/>
      <family val="2"/>
      <scheme val="minor"/>
    </font>
    <font>
      <sz val="10"/>
      <color rgb="FF960000"/>
      <name val="Calibri"/>
      <family val="2"/>
      <scheme val="minor"/>
    </font>
    <font>
      <b/>
      <sz val="10"/>
      <color rgb="FF990000"/>
      <name val="Calibri"/>
      <family val="2"/>
      <scheme val="minor"/>
    </font>
    <font>
      <b/>
      <sz val="10"/>
      <color rgb="FF960000"/>
      <name val="Calibri"/>
      <family val="2"/>
      <scheme val="minor"/>
    </font>
    <font>
      <b/>
      <u/>
      <sz val="10"/>
      <name val="Calibri"/>
      <family val="2"/>
      <scheme val="minor"/>
    </font>
    <font>
      <u/>
      <sz val="10"/>
      <name val="Calibri"/>
      <family val="2"/>
      <scheme val="minor"/>
    </font>
    <font>
      <b/>
      <sz val="24"/>
      <name val="Cambria"/>
      <family val="1"/>
      <scheme val="major"/>
    </font>
    <font>
      <b/>
      <sz val="11"/>
      <name val="Calibri"/>
      <family val="2"/>
      <scheme val="minor"/>
    </font>
    <font>
      <sz val="11"/>
      <name val="Calibri"/>
      <family val="2"/>
      <scheme val="minor"/>
    </font>
    <font>
      <sz val="10"/>
      <name val="Arial"/>
      <family val="2"/>
    </font>
    <font>
      <sz val="11"/>
      <name val="Arial"/>
      <family val="2"/>
    </font>
    <font>
      <sz val="8"/>
      <name val="Arial"/>
      <family val="2"/>
    </font>
    <font>
      <sz val="8"/>
      <color theme="0"/>
      <name val="Arial"/>
      <family val="2"/>
    </font>
    <font>
      <sz val="8"/>
      <color indexed="81"/>
      <name val="Tahoma"/>
      <family val="2"/>
    </font>
    <font>
      <sz val="8"/>
      <color rgb="FFFF0000"/>
      <name val="Calibri"/>
      <family val="2"/>
      <scheme val="minor"/>
    </font>
    <font>
      <sz val="12"/>
      <name val="Wingdings"/>
      <charset val="2"/>
    </font>
    <font>
      <b/>
      <sz val="14"/>
      <name val="Calibri"/>
      <family val="2"/>
      <scheme val="minor"/>
    </font>
    <font>
      <sz val="8"/>
      <name val="Calibri"/>
      <family val="2"/>
      <scheme val="minor"/>
    </font>
    <font>
      <sz val="10"/>
      <color theme="1"/>
      <name val="Calibri"/>
      <family val="2"/>
      <scheme val="minor"/>
    </font>
    <font>
      <sz val="9"/>
      <color rgb="FFC00000"/>
      <name val="Calibri"/>
      <family val="2"/>
      <scheme val="minor"/>
    </font>
    <font>
      <sz val="9"/>
      <color theme="1"/>
      <name val="Calibri"/>
      <family val="2"/>
      <scheme val="minor"/>
    </font>
    <font>
      <sz val="9"/>
      <color theme="1" tint="0.249977111117893"/>
      <name val="Calibri"/>
      <family val="2"/>
      <scheme val="minor"/>
    </font>
    <font>
      <sz val="8"/>
      <color rgb="FFC00000"/>
      <name val="Calibri"/>
      <family val="2"/>
      <scheme val="minor"/>
    </font>
    <font>
      <b/>
      <sz val="9"/>
      <color theme="0"/>
      <name val="Calibri"/>
      <family val="2"/>
      <scheme val="minor"/>
    </font>
    <font>
      <sz val="9"/>
      <name val="Calibri"/>
      <family val="2"/>
      <scheme val="minor"/>
    </font>
    <font>
      <sz val="9"/>
      <color theme="0"/>
      <name val="Calibri"/>
      <family val="2"/>
      <scheme val="minor"/>
    </font>
    <font>
      <u/>
      <sz val="8"/>
      <color theme="1" tint="0.249977111117893"/>
      <name val="Calibri"/>
      <family val="2"/>
      <scheme val="minor"/>
    </font>
    <font>
      <sz val="8"/>
      <color theme="1" tint="0.249977111117893"/>
      <name val="Calibri"/>
      <family val="2"/>
      <scheme val="minor"/>
    </font>
    <font>
      <b/>
      <sz val="8"/>
      <color theme="0"/>
      <name val="Calibri"/>
      <family val="2"/>
      <scheme val="minor"/>
    </font>
    <font>
      <sz val="10"/>
      <color theme="6" tint="0.79998168889431442"/>
      <name val="Calibri"/>
      <family val="2"/>
      <scheme val="minor"/>
    </font>
    <font>
      <b/>
      <sz val="10"/>
      <name val="Wingdings"/>
      <charset val="2"/>
    </font>
    <font>
      <sz val="10"/>
      <color rgb="FFC00000"/>
      <name val="Calibri"/>
      <family val="2"/>
      <scheme val="minor"/>
    </font>
    <font>
      <b/>
      <sz val="12"/>
      <name val="Calibri"/>
      <family val="2"/>
      <scheme val="minor"/>
    </font>
    <font>
      <b/>
      <sz val="8"/>
      <color indexed="81"/>
      <name val="Tahoma"/>
      <family val="2"/>
    </font>
    <font>
      <sz val="10"/>
      <color indexed="81"/>
      <name val="Tahoma"/>
      <family val="2"/>
    </font>
    <font>
      <sz val="9"/>
      <color indexed="81"/>
      <name val="Tahoma"/>
      <family val="2"/>
    </font>
    <font>
      <sz val="8"/>
      <name val="Calibri"/>
      <family val="2"/>
    </font>
    <font>
      <b/>
      <u/>
      <sz val="12"/>
      <name val="Calibri"/>
      <family val="2"/>
      <scheme val="minor"/>
    </font>
    <font>
      <sz val="10"/>
      <name val="ZapfDingbats"/>
      <family val="5"/>
      <charset val="2"/>
    </font>
    <font>
      <u/>
      <sz val="10"/>
      <color rgb="FFC00000"/>
      <name val="Calibri"/>
      <family val="2"/>
      <scheme val="minor"/>
    </font>
    <font>
      <b/>
      <u/>
      <sz val="14"/>
      <name val="Calibri"/>
      <family val="2"/>
      <scheme val="minor"/>
    </font>
    <font>
      <b/>
      <sz val="10"/>
      <color indexed="81"/>
      <name val="Calibri"/>
      <family val="2"/>
      <scheme val="minor"/>
    </font>
    <font>
      <sz val="10"/>
      <color indexed="81"/>
      <name val="Calibri"/>
      <family val="2"/>
      <scheme val="minor"/>
    </font>
    <font>
      <i/>
      <sz val="10"/>
      <name val="Calibri"/>
      <family val="2"/>
      <scheme val="minor"/>
    </font>
    <font>
      <b/>
      <i/>
      <sz val="10"/>
      <name val="Calibri"/>
      <family val="2"/>
      <scheme val="minor"/>
    </font>
    <font>
      <i/>
      <u/>
      <sz val="10"/>
      <name val="Calibri"/>
      <family val="2"/>
      <scheme val="minor"/>
    </font>
    <font>
      <b/>
      <sz val="10"/>
      <color rgb="FFFFFFCC"/>
      <name val="Calibri"/>
      <family val="2"/>
      <scheme val="minor"/>
    </font>
    <font>
      <i/>
      <sz val="9"/>
      <name val="Calibri"/>
      <family val="2"/>
      <scheme val="minor"/>
    </font>
    <font>
      <b/>
      <sz val="10"/>
      <color theme="1" tint="0.24994659260841701"/>
      <name val="Calibri"/>
      <family val="2"/>
      <scheme val="minor"/>
    </font>
    <font>
      <b/>
      <sz val="10"/>
      <color indexed="10"/>
      <name val="Calibri"/>
      <family val="2"/>
      <scheme val="minor"/>
    </font>
  </fonts>
  <fills count="9">
    <fill>
      <patternFill patternType="none"/>
    </fill>
    <fill>
      <patternFill patternType="gray125"/>
    </fill>
    <fill>
      <patternFill patternType="solid">
        <fgColor rgb="FF990000"/>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00000"/>
        <bgColor indexed="64"/>
      </patternFill>
    </fill>
    <fill>
      <patternFill patternType="solid">
        <fgColor rgb="FFFFFFFF"/>
        <bgColor indexed="64"/>
      </patternFill>
    </fill>
    <fill>
      <patternFill patternType="solid">
        <fgColor theme="6" tint="0.59996337778862885"/>
        <bgColor indexed="64"/>
      </patternFill>
    </fill>
    <fill>
      <patternFill patternType="solid">
        <fgColor theme="6" tint="-0.499984740745262"/>
        <bgColor indexed="64"/>
      </patternFill>
    </fill>
  </fills>
  <borders count="37">
    <border>
      <left/>
      <right/>
      <top/>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auto="1"/>
      </top>
      <bottom/>
      <diagonal/>
    </border>
    <border>
      <left/>
      <right/>
      <top style="thin">
        <color indexed="9"/>
      </top>
      <bottom style="thin">
        <color indexed="9"/>
      </bottom>
      <diagonal/>
    </border>
    <border>
      <left/>
      <right/>
      <top/>
      <bottom style="thin">
        <color auto="1"/>
      </bottom>
      <diagonal/>
    </border>
    <border>
      <left/>
      <right/>
      <top style="thin">
        <color indexed="8"/>
      </top>
      <bottom style="double">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9"/>
      </right>
      <top/>
      <bottom/>
      <diagonal/>
    </border>
    <border>
      <left/>
      <right/>
      <top/>
      <bottom style="thin">
        <color indexed="8"/>
      </bottom>
      <diagonal/>
    </border>
    <border>
      <left style="thin">
        <color rgb="FFA00000"/>
      </left>
      <right style="thin">
        <color rgb="FFA00000"/>
      </right>
      <top style="thin">
        <color rgb="FFA00000"/>
      </top>
      <bottom style="thin">
        <color rgb="FFA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dashDot">
        <color auto="1"/>
      </left>
      <right style="thick">
        <color auto="1"/>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style="thin">
        <color auto="1"/>
      </right>
      <top/>
      <bottom style="thin">
        <color auto="1"/>
      </bottom>
      <diagonal/>
    </border>
    <border>
      <left style="thin">
        <color rgb="FFC00000"/>
      </left>
      <right style="thin">
        <color rgb="FFC00000"/>
      </right>
      <top style="thin">
        <color rgb="FFC00000"/>
      </top>
      <bottom style="thin">
        <color rgb="FFC00000"/>
      </bottom>
      <diagonal/>
    </border>
    <border>
      <left style="thin">
        <color rgb="FFC00000"/>
      </left>
      <right/>
      <top/>
      <bottom/>
      <diagonal/>
    </border>
    <border>
      <left/>
      <right/>
      <top style="thin">
        <color auto="1"/>
      </top>
      <bottom style="double">
        <color auto="1"/>
      </bottom>
      <diagonal/>
    </border>
    <border>
      <left style="thin">
        <color auto="1"/>
      </left>
      <right style="thin">
        <color auto="1"/>
      </right>
      <top style="thin">
        <color auto="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rgb="FF990000"/>
      </left>
      <right style="thin">
        <color rgb="FF990000"/>
      </right>
      <top style="thin">
        <color rgb="FF990000"/>
      </top>
      <bottom style="thin">
        <color rgb="FF99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5" fillId="0" borderId="0"/>
  </cellStyleXfs>
  <cellXfs count="381">
    <xf numFmtId="0" fontId="0" fillId="0" borderId="0" xfId="0"/>
    <xf numFmtId="0" fontId="3" fillId="0" borderId="0" xfId="0" applyFont="1" applyFill="1" applyBorder="1" applyAlignment="1" applyProtection="1">
      <alignment horizontal="right" vertical="center"/>
      <protection locked="0"/>
    </xf>
    <xf numFmtId="0" fontId="4" fillId="0" borderId="0" xfId="0" applyNumberFormat="1" applyFont="1" applyAlignment="1">
      <alignment horizontal="centerContinuous"/>
    </xf>
    <xf numFmtId="165" fontId="4" fillId="0" borderId="0" xfId="2" applyNumberFormat="1" applyFont="1" applyAlignment="1">
      <alignment horizontal="centerContinuous"/>
    </xf>
    <xf numFmtId="0" fontId="4" fillId="0" borderId="0" xfId="0" applyNumberFormat="1" applyFont="1" applyAlignment="1"/>
    <xf numFmtId="0" fontId="5" fillId="0" borderId="0" xfId="0" applyFont="1"/>
    <xf numFmtId="165" fontId="4" fillId="0" borderId="0" xfId="2" applyNumberFormat="1" applyFont="1" applyAlignment="1"/>
    <xf numFmtId="0" fontId="4" fillId="0" borderId="3" xfId="0" applyNumberFormat="1" applyFont="1" applyBorder="1" applyAlignment="1"/>
    <xf numFmtId="0" fontId="4" fillId="0" borderId="1" xfId="0" applyNumberFormat="1" applyFont="1" applyBorder="1" applyAlignment="1"/>
    <xf numFmtId="0" fontId="4" fillId="0" borderId="2" xfId="0" applyNumberFormat="1" applyFont="1" applyBorder="1" applyAlignment="1"/>
    <xf numFmtId="0" fontId="10" fillId="0" borderId="1" xfId="0" applyNumberFormat="1" applyFont="1" applyFill="1" applyBorder="1" applyAlignment="1">
      <alignment horizontal="center" vertical="center"/>
    </xf>
    <xf numFmtId="0" fontId="11" fillId="0" borderId="3" xfId="0" applyNumberFormat="1" applyFont="1" applyBorder="1" applyAlignment="1">
      <alignment vertical="center"/>
    </xf>
    <xf numFmtId="165" fontId="12" fillId="0" borderId="0" xfId="2" applyNumberFormat="1" applyFont="1" applyAlignment="1"/>
    <xf numFmtId="0" fontId="4" fillId="0" borderId="16" xfId="0" applyNumberFormat="1" applyFont="1" applyFill="1" applyBorder="1" applyAlignment="1"/>
    <xf numFmtId="3" fontId="13" fillId="0" borderId="17" xfId="2" applyNumberFormat="1" applyFont="1" applyFill="1" applyBorder="1" applyAlignment="1" applyProtection="1">
      <alignment horizontal="center"/>
      <protection locked="0"/>
    </xf>
    <xf numFmtId="3" fontId="4" fillId="0" borderId="17" xfId="2" applyNumberFormat="1" applyFont="1" applyFill="1" applyBorder="1" applyAlignment="1">
      <alignment horizontal="center"/>
    </xf>
    <xf numFmtId="3" fontId="4" fillId="0" borderId="18" xfId="2" applyNumberFormat="1" applyFont="1" applyFill="1" applyBorder="1" applyAlignment="1">
      <alignment horizontal="center"/>
    </xf>
    <xf numFmtId="0" fontId="4" fillId="0" borderId="0" xfId="0" applyNumberFormat="1" applyFont="1" applyFill="1" applyAlignment="1"/>
    <xf numFmtId="3" fontId="13" fillId="0" borderId="0" xfId="2" applyNumberFormat="1" applyFont="1" applyFill="1" applyAlignment="1">
      <alignment horizontal="center"/>
    </xf>
    <xf numFmtId="3" fontId="4" fillId="0" borderId="0" xfId="2" applyNumberFormat="1" applyFont="1" applyFill="1" applyAlignment="1">
      <alignment horizontal="center"/>
    </xf>
    <xf numFmtId="3" fontId="13" fillId="0" borderId="6" xfId="2" applyNumberFormat="1" applyFont="1" applyFill="1" applyBorder="1" applyAlignment="1" applyProtection="1">
      <alignment horizontal="center"/>
      <protection locked="0"/>
    </xf>
    <xf numFmtId="3" fontId="4" fillId="0" borderId="6" xfId="2" applyNumberFormat="1" applyFont="1" applyFill="1" applyBorder="1" applyAlignment="1">
      <alignment horizontal="center"/>
    </xf>
    <xf numFmtId="3" fontId="4" fillId="0" borderId="12" xfId="2" applyNumberFormat="1" applyFont="1" applyFill="1" applyBorder="1" applyAlignment="1">
      <alignment horizontal="center"/>
    </xf>
    <xf numFmtId="3" fontId="13" fillId="0" borderId="0" xfId="2" applyNumberFormat="1" applyFont="1" applyFill="1" applyBorder="1" applyAlignment="1" applyProtection="1">
      <alignment horizontal="center"/>
      <protection locked="0"/>
    </xf>
    <xf numFmtId="3" fontId="4" fillId="0" borderId="0" xfId="2" applyNumberFormat="1" applyFont="1" applyFill="1" applyBorder="1" applyAlignment="1">
      <alignment horizontal="center"/>
    </xf>
    <xf numFmtId="3" fontId="4" fillId="0" borderId="14" xfId="2" applyNumberFormat="1" applyFont="1" applyFill="1" applyBorder="1" applyAlignment="1">
      <alignment horizontal="center"/>
    </xf>
    <xf numFmtId="3" fontId="4" fillId="0" borderId="8" xfId="2" applyNumberFormat="1" applyFont="1" applyFill="1" applyBorder="1" applyAlignment="1">
      <alignment horizontal="center" vertical="center"/>
    </xf>
    <xf numFmtId="3" fontId="4" fillId="0" borderId="0" xfId="2" applyNumberFormat="1" applyFont="1" applyBorder="1" applyAlignment="1">
      <alignment horizontal="center"/>
    </xf>
    <xf numFmtId="3" fontId="4" fillId="0" borderId="8" xfId="2" applyNumberFormat="1" applyFont="1" applyBorder="1" applyAlignment="1">
      <alignment horizontal="center"/>
    </xf>
    <xf numFmtId="3" fontId="4" fillId="0" borderId="0" xfId="2" applyNumberFormat="1" applyFont="1" applyAlignment="1">
      <alignment horizontal="center"/>
    </xf>
    <xf numFmtId="3" fontId="4" fillId="0" borderId="20" xfId="2" applyNumberFormat="1" applyFont="1" applyBorder="1" applyAlignment="1">
      <alignment horizontal="center"/>
    </xf>
    <xf numFmtId="3" fontId="11" fillId="0" borderId="0" xfId="2" applyNumberFormat="1" applyFont="1" applyAlignment="1">
      <alignment horizontal="center"/>
    </xf>
    <xf numFmtId="3" fontId="11" fillId="0" borderId="9" xfId="2" applyNumberFormat="1" applyFont="1" applyBorder="1" applyAlignment="1">
      <alignment horizontal="center"/>
    </xf>
    <xf numFmtId="164" fontId="4" fillId="0" borderId="0" xfId="0" applyNumberFormat="1" applyFont="1" applyAlignment="1"/>
    <xf numFmtId="9" fontId="4" fillId="0" borderId="0" xfId="1" applyFont="1" applyAlignment="1"/>
    <xf numFmtId="9" fontId="4" fillId="0" borderId="0" xfId="1" applyFont="1" applyBorder="1" applyAlignment="1">
      <alignment horizontal="center"/>
    </xf>
    <xf numFmtId="0" fontId="4" fillId="0" borderId="0" xfId="0" applyNumberFormat="1" applyFont="1" applyAlignment="1">
      <alignment vertical="center"/>
    </xf>
    <xf numFmtId="0" fontId="5" fillId="0" borderId="0" xfId="0" applyFont="1" applyAlignment="1">
      <alignment vertical="center"/>
    </xf>
    <xf numFmtId="0" fontId="4" fillId="0" borderId="0" xfId="0" applyNumberFormat="1" applyFont="1" applyAlignment="1">
      <alignment horizontal="right"/>
    </xf>
    <xf numFmtId="164" fontId="4" fillId="0" borderId="0" xfId="0" applyNumberFormat="1" applyFont="1"/>
    <xf numFmtId="164" fontId="4" fillId="0" borderId="0" xfId="0" applyNumberFormat="1" applyFont="1" applyAlignment="1">
      <alignment horizontal="right"/>
    </xf>
    <xf numFmtId="0" fontId="14" fillId="0" borderId="0" xfId="0" applyFont="1" applyAlignment="1">
      <alignment horizontal="left"/>
    </xf>
    <xf numFmtId="0" fontId="14" fillId="0" borderId="0" xfId="0" quotePrefix="1" applyFont="1" applyAlignment="1">
      <alignment horizontal="left" vertical="top"/>
    </xf>
    <xf numFmtId="0" fontId="16" fillId="0" borderId="0" xfId="0" applyNumberFormat="1" applyFont="1" applyFill="1" applyBorder="1" applyAlignment="1">
      <alignment horizontal="left" vertical="top" wrapText="1"/>
    </xf>
    <xf numFmtId="0" fontId="14" fillId="0" borderId="0" xfId="0" quotePrefix="1" applyFont="1" applyAlignment="1"/>
    <xf numFmtId="0" fontId="14" fillId="0" borderId="0" xfId="0" applyFont="1" applyAlignment="1"/>
    <xf numFmtId="0" fontId="14" fillId="0" borderId="0" xfId="0" quotePrefix="1" applyFont="1" applyAlignment="1">
      <alignment horizontal="right"/>
    </xf>
    <xf numFmtId="0" fontId="14" fillId="0" borderId="0" xfId="0" applyFont="1" applyAlignment="1">
      <alignment horizontal="right"/>
    </xf>
    <xf numFmtId="0" fontId="4" fillId="0" borderId="0" xfId="0" applyFont="1"/>
    <xf numFmtId="3" fontId="8" fillId="0" borderId="19" xfId="0" applyNumberFormat="1" applyFont="1" applyFill="1" applyBorder="1" applyAlignment="1">
      <alignment horizontal="center"/>
    </xf>
    <xf numFmtId="165" fontId="9" fillId="2" borderId="1" xfId="2" applyNumberFormat="1" applyFont="1" applyFill="1" applyBorder="1" applyAlignment="1">
      <alignment horizontal="center" vertical="center"/>
    </xf>
    <xf numFmtId="3" fontId="18" fillId="0" borderId="17" xfId="2" applyNumberFormat="1" applyFont="1" applyFill="1" applyBorder="1" applyAlignment="1">
      <alignment horizontal="center"/>
    </xf>
    <xf numFmtId="3" fontId="18" fillId="0" borderId="0" xfId="2" applyNumberFormat="1" applyFont="1" applyFill="1" applyAlignment="1">
      <alignment horizontal="center"/>
    </xf>
    <xf numFmtId="3" fontId="18" fillId="0" borderId="6" xfId="2" applyNumberFormat="1" applyFont="1" applyFill="1" applyBorder="1" applyAlignment="1">
      <alignment horizontal="center"/>
    </xf>
    <xf numFmtId="3" fontId="18" fillId="0" borderId="0" xfId="2" applyNumberFormat="1" applyFont="1" applyFill="1" applyBorder="1" applyAlignment="1">
      <alignment horizontal="center"/>
    </xf>
    <xf numFmtId="3" fontId="18" fillId="0" borderId="8" xfId="2" applyNumberFormat="1" applyFont="1" applyFill="1" applyBorder="1" applyAlignment="1">
      <alignment horizontal="center" vertical="center"/>
    </xf>
    <xf numFmtId="3" fontId="18" fillId="0" borderId="0" xfId="2" applyNumberFormat="1" applyFont="1" applyAlignment="1">
      <alignment horizontal="center"/>
    </xf>
    <xf numFmtId="3" fontId="19" fillId="0" borderId="21" xfId="2" applyNumberFormat="1" applyFont="1" applyBorder="1" applyAlignment="1">
      <alignment horizontal="center"/>
    </xf>
    <xf numFmtId="3" fontId="20" fillId="0" borderId="9" xfId="2" applyNumberFormat="1" applyFont="1" applyBorder="1" applyAlignment="1">
      <alignment horizontal="center"/>
    </xf>
    <xf numFmtId="9" fontId="18" fillId="0" borderId="0" xfId="1" applyFont="1" applyBorder="1" applyAlignment="1">
      <alignment horizontal="center"/>
    </xf>
    <xf numFmtId="0" fontId="21" fillId="0" borderId="0" xfId="0" applyNumberFormat="1" applyFont="1" applyAlignment="1"/>
    <xf numFmtId="3" fontId="11" fillId="0" borderId="10" xfId="2" applyNumberFormat="1" applyFont="1" applyFill="1" applyBorder="1" applyAlignment="1" applyProtection="1">
      <alignment horizontal="center"/>
      <protection locked="0"/>
    </xf>
    <xf numFmtId="9" fontId="11" fillId="0" borderId="10" xfId="1" applyFont="1" applyFill="1" applyBorder="1" applyAlignment="1" applyProtection="1">
      <alignment horizontal="center"/>
      <protection locked="0"/>
    </xf>
    <xf numFmtId="0" fontId="11" fillId="0" borderId="10" xfId="0" applyNumberFormat="1" applyFont="1" applyFill="1" applyBorder="1" applyAlignment="1" applyProtection="1">
      <alignment horizontal="center"/>
      <protection locked="0"/>
    </xf>
    <xf numFmtId="165" fontId="4" fillId="0" borderId="0" xfId="2" applyNumberFormat="1" applyFont="1" applyAlignment="1">
      <alignment horizontal="left" vertical="center"/>
    </xf>
    <xf numFmtId="0" fontId="24" fillId="0" borderId="0" xfId="0" applyFont="1" applyAlignment="1">
      <alignment vertical="center"/>
    </xf>
    <xf numFmtId="0" fontId="24" fillId="0" borderId="0" xfId="0" applyFont="1"/>
    <xf numFmtId="0" fontId="25" fillId="0" borderId="0" xfId="0" applyFont="1"/>
    <xf numFmtId="3" fontId="11" fillId="0" borderId="10" xfId="2" applyNumberFormat="1" applyFont="1" applyFill="1" applyBorder="1" applyAlignment="1" applyProtection="1">
      <alignment horizontal="center" vertical="center"/>
      <protection locked="0"/>
    </xf>
    <xf numFmtId="0" fontId="4" fillId="0" borderId="10" xfId="0" applyNumberFormat="1" applyFont="1" applyFill="1" applyBorder="1" applyAlignment="1"/>
    <xf numFmtId="0" fontId="11" fillId="0" borderId="10" xfId="0" applyNumberFormat="1" applyFont="1" applyFill="1" applyBorder="1" applyAlignment="1" applyProtection="1">
      <protection locked="0"/>
    </xf>
    <xf numFmtId="0" fontId="11" fillId="0" borderId="10" xfId="0" applyNumberFormat="1" applyFont="1" applyFill="1" applyBorder="1" applyAlignment="1" applyProtection="1">
      <alignment vertical="center"/>
      <protection locked="0"/>
    </xf>
    <xf numFmtId="3" fontId="4" fillId="0" borderId="17" xfId="2" applyNumberFormat="1" applyFont="1" applyFill="1" applyBorder="1" applyAlignment="1">
      <alignment horizontal="center" vertical="center"/>
    </xf>
    <xf numFmtId="3" fontId="4" fillId="0" borderId="18" xfId="2" applyNumberFormat="1" applyFont="1" applyFill="1" applyBorder="1" applyAlignment="1">
      <alignment horizontal="center" vertical="center"/>
    </xf>
    <xf numFmtId="3" fontId="4" fillId="0" borderId="25" xfId="2" applyNumberFormat="1" applyFont="1" applyFill="1" applyBorder="1" applyAlignment="1">
      <alignment horizontal="center"/>
    </xf>
    <xf numFmtId="3" fontId="4" fillId="0" borderId="25" xfId="2" applyNumberFormat="1" applyFont="1" applyFill="1" applyBorder="1" applyAlignment="1">
      <alignment horizontal="center" vertical="center"/>
    </xf>
    <xf numFmtId="3" fontId="4" fillId="0" borderId="26" xfId="2" applyNumberFormat="1" applyFont="1" applyFill="1" applyBorder="1" applyAlignment="1">
      <alignment horizontal="center"/>
    </xf>
    <xf numFmtId="3" fontId="4" fillId="0" borderId="26" xfId="2" applyNumberFormat="1" applyFont="1" applyFill="1" applyBorder="1" applyAlignment="1">
      <alignment horizontal="center" vertical="center"/>
    </xf>
    <xf numFmtId="3" fontId="4" fillId="0" borderId="27" xfId="2" applyNumberFormat="1" applyFont="1" applyFill="1" applyBorder="1" applyAlignment="1">
      <alignment horizontal="center"/>
    </xf>
    <xf numFmtId="3" fontId="4" fillId="0" borderId="27" xfId="2" applyNumberFormat="1" applyFont="1" applyFill="1" applyBorder="1" applyAlignment="1">
      <alignment horizontal="center" vertical="center"/>
    </xf>
    <xf numFmtId="3" fontId="4" fillId="0" borderId="0" xfId="2" applyNumberFormat="1" applyFont="1" applyAlignment="1">
      <alignment horizontal="left" vertical="center"/>
    </xf>
    <xf numFmtId="0" fontId="4" fillId="0" borderId="0" xfId="0" applyNumberFormat="1" applyFont="1" applyAlignment="1">
      <alignment horizontal="right" vertical="center"/>
    </xf>
    <xf numFmtId="0" fontId="4" fillId="0" borderId="0" xfId="0" applyNumberFormat="1" applyFont="1" applyAlignment="1">
      <alignment horizontal="left" vertical="center"/>
    </xf>
    <xf numFmtId="165" fontId="4" fillId="0" borderId="0" xfId="2" applyNumberFormat="1" applyFont="1" applyBorder="1" applyAlignment="1">
      <alignment vertical="center"/>
    </xf>
    <xf numFmtId="165" fontId="4" fillId="0" borderId="0" xfId="2" applyNumberFormat="1" applyFont="1" applyAlignment="1">
      <alignment vertical="center"/>
    </xf>
    <xf numFmtId="165" fontId="4" fillId="0" borderId="0" xfId="2" applyNumberFormat="1" applyFont="1" applyAlignment="1" applyProtection="1"/>
    <xf numFmtId="0" fontId="4" fillId="0" borderId="0" xfId="0" applyNumberFormat="1" applyFont="1" applyAlignment="1" applyProtection="1"/>
    <xf numFmtId="164" fontId="4" fillId="0" borderId="0" xfId="0" applyNumberFormat="1" applyFont="1" applyProtection="1"/>
    <xf numFmtId="165" fontId="4" fillId="0" borderId="0" xfId="2" applyNumberFormat="1" applyFont="1" applyAlignment="1" applyProtection="1">
      <alignment horizontal="left" vertical="center"/>
    </xf>
    <xf numFmtId="164" fontId="4" fillId="0" borderId="0" xfId="0" applyNumberFormat="1" applyFont="1" applyAlignment="1" applyProtection="1">
      <alignment horizontal="right"/>
    </xf>
    <xf numFmtId="3" fontId="4" fillId="0" borderId="28" xfId="0" applyNumberFormat="1" applyFont="1" applyBorder="1" applyAlignment="1" applyProtection="1">
      <alignment horizontal="center" vertical="center"/>
      <protection locked="0"/>
    </xf>
    <xf numFmtId="3" fontId="11" fillId="0" borderId="17" xfId="2" applyNumberFormat="1" applyFont="1" applyFill="1" applyBorder="1" applyAlignment="1" applyProtection="1">
      <alignment horizontal="center"/>
    </xf>
    <xf numFmtId="3" fontId="11" fillId="0" borderId="0" xfId="2" applyNumberFormat="1" applyFont="1" applyFill="1" applyAlignment="1" applyProtection="1">
      <alignment horizontal="center"/>
    </xf>
    <xf numFmtId="0" fontId="13" fillId="0" borderId="0" xfId="0" applyNumberFormat="1" applyFont="1" applyAlignment="1" applyProtection="1">
      <protection locked="0"/>
    </xf>
    <xf numFmtId="3" fontId="13" fillId="0" borderId="8" xfId="2" applyNumberFormat="1" applyFont="1" applyFill="1" applyBorder="1" applyAlignment="1" applyProtection="1">
      <alignment horizontal="center" vertical="center"/>
      <protection locked="0"/>
    </xf>
    <xf numFmtId="0" fontId="31" fillId="0" borderId="0" xfId="0" applyNumberFormat="1" applyFont="1" applyAlignment="1">
      <alignment horizontal="right" vertical="top"/>
    </xf>
    <xf numFmtId="3" fontId="4" fillId="0" borderId="0"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0" fontId="32" fillId="0" borderId="0" xfId="0" applyFont="1"/>
    <xf numFmtId="0" fontId="4" fillId="0" borderId="0" xfId="0" applyNumberFormat="1" applyFont="1" applyBorder="1" applyAlignment="1"/>
    <xf numFmtId="3" fontId="4" fillId="0" borderId="22" xfId="2" applyNumberFormat="1" applyFont="1" applyFill="1" applyBorder="1" applyAlignment="1" applyProtection="1">
      <alignment horizontal="center"/>
      <protection locked="0"/>
    </xf>
    <xf numFmtId="0" fontId="4" fillId="0" borderId="13" xfId="0" applyNumberFormat="1" applyFont="1" applyFill="1" applyBorder="1" applyAlignment="1">
      <alignment horizontal="left"/>
    </xf>
    <xf numFmtId="3" fontId="4" fillId="0" borderId="6" xfId="2" applyNumberFormat="1" applyFont="1" applyFill="1" applyBorder="1" applyAlignment="1" applyProtection="1">
      <alignment horizontal="center"/>
    </xf>
    <xf numFmtId="3" fontId="4" fillId="0" borderId="0" xfId="2" applyNumberFormat="1" applyFont="1" applyFill="1" applyBorder="1" applyAlignment="1" applyProtection="1">
      <alignment horizontal="center"/>
    </xf>
    <xf numFmtId="3" fontId="4" fillId="0" borderId="8" xfId="2" applyNumberFormat="1" applyFont="1" applyFill="1" applyBorder="1" applyAlignment="1" applyProtection="1">
      <alignment horizontal="center"/>
    </xf>
    <xf numFmtId="3" fontId="4" fillId="4" borderId="17" xfId="2" applyNumberFormat="1" applyFont="1" applyFill="1" applyBorder="1" applyAlignment="1">
      <alignment horizontal="center"/>
    </xf>
    <xf numFmtId="3" fontId="4" fillId="4" borderId="18" xfId="2" applyNumberFormat="1" applyFont="1" applyFill="1" applyBorder="1" applyAlignment="1">
      <alignment horizontal="center"/>
    </xf>
    <xf numFmtId="3" fontId="4" fillId="4" borderId="17" xfId="2" applyNumberFormat="1" applyFont="1" applyFill="1" applyBorder="1" applyAlignment="1" applyProtection="1">
      <alignment horizontal="center"/>
    </xf>
    <xf numFmtId="3" fontId="4" fillId="4" borderId="28" xfId="0" applyNumberFormat="1" applyFont="1" applyFill="1" applyBorder="1" applyAlignment="1" applyProtection="1">
      <alignment horizontal="center" vertical="center"/>
    </xf>
    <xf numFmtId="9" fontId="4" fillId="0" borderId="23" xfId="1" applyFont="1" applyBorder="1" applyAlignment="1" applyProtection="1">
      <alignment horizontal="center"/>
      <protection locked="0"/>
    </xf>
    <xf numFmtId="0" fontId="4" fillId="0" borderId="10" xfId="0" applyFont="1" applyBorder="1" applyAlignment="1" applyProtection="1">
      <alignment horizontal="center" vertical="center"/>
      <protection locked="0"/>
    </xf>
    <xf numFmtId="3" fontId="40" fillId="5" borderId="30" xfId="0" applyNumberFormat="1" applyFont="1" applyFill="1" applyBorder="1" applyAlignment="1" applyProtection="1">
      <alignment horizontal="center" vertical="center"/>
    </xf>
    <xf numFmtId="3" fontId="19" fillId="0" borderId="0" xfId="2" applyNumberFormat="1" applyFont="1" applyBorder="1" applyAlignment="1">
      <alignment horizontal="center"/>
    </xf>
    <xf numFmtId="3" fontId="4" fillId="0" borderId="17" xfId="2" applyNumberFormat="1" applyFont="1" applyFill="1" applyBorder="1" applyAlignment="1" applyProtection="1">
      <alignment horizontal="center"/>
    </xf>
    <xf numFmtId="9" fontId="4" fillId="0" borderId="6" xfId="1" applyFont="1" applyFill="1" applyBorder="1" applyAlignment="1" applyProtection="1">
      <alignment horizontal="center"/>
    </xf>
    <xf numFmtId="9" fontId="4" fillId="0" borderId="0" xfId="1" applyFont="1" applyFill="1" applyBorder="1" applyAlignment="1" applyProtection="1">
      <alignment horizontal="center"/>
    </xf>
    <xf numFmtId="9" fontId="4" fillId="0" borderId="8" xfId="1" applyFont="1" applyFill="1" applyBorder="1" applyAlignment="1" applyProtection="1">
      <alignment horizontal="center"/>
    </xf>
    <xf numFmtId="0" fontId="4" fillId="0" borderId="11" xfId="0" applyNumberFormat="1" applyFont="1" applyFill="1" applyBorder="1" applyAlignment="1">
      <alignment horizontal="left"/>
    </xf>
    <xf numFmtId="0" fontId="4" fillId="0" borderId="15" xfId="0" applyNumberFormat="1" applyFont="1" applyFill="1" applyBorder="1" applyAlignment="1">
      <alignment horizontal="left"/>
    </xf>
    <xf numFmtId="3" fontId="4" fillId="0" borderId="33" xfId="2" applyNumberFormat="1" applyFont="1" applyFill="1" applyBorder="1" applyAlignment="1" applyProtection="1">
      <alignment horizontal="center"/>
      <protection locked="0"/>
    </xf>
    <xf numFmtId="3" fontId="4" fillId="0" borderId="34" xfId="2" applyNumberFormat="1" applyFont="1" applyFill="1" applyBorder="1" applyAlignment="1" applyProtection="1">
      <alignment horizontal="center"/>
      <protection locked="0"/>
    </xf>
    <xf numFmtId="3" fontId="4" fillId="0" borderId="35" xfId="2" applyNumberFormat="1" applyFont="1" applyFill="1" applyBorder="1" applyAlignment="1" applyProtection="1">
      <alignment horizontal="center" vertical="center"/>
      <protection locked="0"/>
    </xf>
    <xf numFmtId="0" fontId="4" fillId="0" borderId="33" xfId="0" applyNumberFormat="1" applyFont="1" applyFill="1" applyBorder="1" applyAlignment="1" applyProtection="1">
      <alignment horizontal="center"/>
      <protection locked="0"/>
    </xf>
    <xf numFmtId="0" fontId="4" fillId="0" borderId="34" xfId="0" applyNumberFormat="1" applyFont="1" applyFill="1" applyBorder="1" applyAlignment="1" applyProtection="1">
      <alignment horizontal="center"/>
      <protection locked="0"/>
    </xf>
    <xf numFmtId="0" fontId="4" fillId="0" borderId="35" xfId="0" applyNumberFormat="1" applyFont="1" applyFill="1" applyBorder="1" applyAlignment="1" applyProtection="1">
      <alignment horizontal="center"/>
      <protection locked="0"/>
    </xf>
    <xf numFmtId="0" fontId="10" fillId="0" borderId="2" xfId="0" applyNumberFormat="1" applyFont="1" applyFill="1" applyBorder="1" applyAlignment="1">
      <alignment horizontal="center" vertical="center"/>
    </xf>
    <xf numFmtId="165" fontId="45" fillId="2" borderId="36" xfId="2" applyNumberFormat="1" applyFont="1" applyFill="1" applyBorder="1" applyAlignment="1">
      <alignment horizontal="center" vertical="center"/>
    </xf>
    <xf numFmtId="165" fontId="9" fillId="2" borderId="36" xfId="2" applyNumberFormat="1" applyFont="1" applyFill="1" applyBorder="1" applyAlignment="1">
      <alignment horizontal="center" vertical="center"/>
    </xf>
    <xf numFmtId="165" fontId="4" fillId="0" borderId="0" xfId="2" applyNumberFormat="1" applyFont="1" applyBorder="1" applyAlignment="1">
      <alignment horizontal="left" vertical="center"/>
    </xf>
    <xf numFmtId="0" fontId="4" fillId="0" borderId="0" xfId="0" applyNumberFormat="1" applyFont="1" applyAlignment="1">
      <alignment horizontal="left"/>
    </xf>
    <xf numFmtId="0" fontId="3" fillId="0" borderId="0" xfId="0" applyNumberFormat="1" applyFont="1" applyAlignment="1" applyProtection="1">
      <protection locked="0"/>
    </xf>
    <xf numFmtId="0" fontId="4" fillId="0" borderId="0" xfId="0" applyFont="1" applyProtection="1"/>
    <xf numFmtId="0" fontId="33" fillId="0" borderId="0" xfId="0" applyFont="1" applyProtection="1"/>
    <xf numFmtId="0" fontId="4" fillId="0" borderId="0" xfId="0" applyFont="1" applyAlignment="1" applyProtection="1">
      <alignment horizontal="center"/>
    </xf>
    <xf numFmtId="0" fontId="4" fillId="0" borderId="0" xfId="0" applyFont="1" applyAlignment="1" applyProtection="1">
      <alignment horizontal="center" vertical="top"/>
    </xf>
    <xf numFmtId="0" fontId="4" fillId="0" borderId="0" xfId="0" applyFont="1" applyAlignment="1" applyProtection="1">
      <alignment horizontal="center" wrapText="1"/>
    </xf>
    <xf numFmtId="0" fontId="4" fillId="3" borderId="0" xfId="0" applyNumberFormat="1" applyFont="1" applyFill="1" applyAlignment="1" applyProtection="1">
      <alignment horizontal="left" vertical="top"/>
    </xf>
    <xf numFmtId="0" fontId="11" fillId="3" borderId="0" xfId="0" applyFont="1" applyFill="1" applyAlignment="1" applyProtection="1">
      <alignment horizontal="center" vertical="center" wrapText="1"/>
    </xf>
    <xf numFmtId="0" fontId="4" fillId="3" borderId="0" xfId="0" applyFont="1" applyFill="1" applyAlignment="1" applyProtection="1">
      <alignment horizontal="center" wrapText="1"/>
    </xf>
    <xf numFmtId="0" fontId="32" fillId="0" borderId="0" xfId="0" applyFont="1" applyAlignment="1" applyProtection="1">
      <alignment vertical="top"/>
    </xf>
    <xf numFmtId="0" fontId="4" fillId="0" borderId="0" xfId="0" applyFont="1" applyAlignment="1" applyProtection="1">
      <alignment vertical="center"/>
    </xf>
    <xf numFmtId="3" fontId="4" fillId="0" borderId="22" xfId="2" applyNumberFormat="1" applyFont="1" applyFill="1" applyBorder="1" applyAlignment="1" applyProtection="1">
      <alignment horizontal="center"/>
    </xf>
    <xf numFmtId="0" fontId="34" fillId="3" borderId="0" xfId="0" applyFont="1" applyFill="1" applyBorder="1" applyAlignment="1" applyProtection="1">
      <alignment vertical="center"/>
    </xf>
    <xf numFmtId="0" fontId="4" fillId="3" borderId="0" xfId="0" applyNumberFormat="1" applyFont="1" applyFill="1" applyAlignment="1" applyProtection="1">
      <alignment horizontal="right"/>
    </xf>
    <xf numFmtId="0" fontId="4" fillId="0" borderId="13" xfId="0" applyNumberFormat="1" applyFont="1" applyFill="1" applyBorder="1" applyAlignment="1" applyProtection="1">
      <alignment horizontal="left"/>
    </xf>
    <xf numFmtId="0" fontId="4" fillId="3" borderId="14" xfId="0" applyNumberFormat="1" applyFont="1" applyFill="1" applyBorder="1" applyAlignment="1" applyProtection="1"/>
    <xf numFmtId="3" fontId="4" fillId="0" borderId="33" xfId="2" applyNumberFormat="1" applyFont="1" applyFill="1" applyBorder="1" applyAlignment="1" applyProtection="1">
      <alignment horizontal="center"/>
    </xf>
    <xf numFmtId="0" fontId="8" fillId="3" borderId="14" xfId="0" applyFont="1" applyFill="1" applyBorder="1" applyAlignment="1" applyProtection="1">
      <alignment vertical="center"/>
    </xf>
    <xf numFmtId="0" fontId="4" fillId="3" borderId="0" xfId="0" applyFont="1" applyFill="1" applyProtection="1"/>
    <xf numFmtId="3" fontId="4" fillId="0" borderId="34" xfId="2" applyNumberFormat="1" applyFont="1" applyFill="1" applyBorder="1" applyAlignment="1" applyProtection="1">
      <alignment horizontal="center"/>
    </xf>
    <xf numFmtId="9" fontId="4" fillId="3" borderId="0" xfId="1" applyFont="1" applyFill="1" applyAlignment="1" applyProtection="1">
      <alignment horizontal="center"/>
    </xf>
    <xf numFmtId="164" fontId="4" fillId="3" borderId="0" xfId="0" applyNumberFormat="1" applyFont="1" applyFill="1" applyAlignment="1" applyProtection="1">
      <alignment horizontal="right"/>
    </xf>
    <xf numFmtId="0" fontId="4" fillId="0" borderId="0" xfId="0" applyFont="1" applyAlignment="1" applyProtection="1">
      <alignment vertical="top"/>
    </xf>
    <xf numFmtId="0" fontId="4" fillId="3" borderId="14" xfId="0" applyNumberFormat="1" applyFont="1" applyFill="1" applyBorder="1" applyAlignment="1" applyProtection="1">
      <alignment vertical="center"/>
    </xf>
    <xf numFmtId="3" fontId="4" fillId="0" borderId="35" xfId="2" applyNumberFormat="1" applyFont="1" applyFill="1" applyBorder="1" applyAlignment="1" applyProtection="1">
      <alignment horizontal="center"/>
    </xf>
    <xf numFmtId="0" fontId="4" fillId="0" borderId="0" xfId="0" applyFont="1" applyFill="1" applyBorder="1" applyAlignment="1" applyProtection="1">
      <alignment horizontal="center" vertical="top" textRotation="255"/>
    </xf>
    <xf numFmtId="0" fontId="4" fillId="0" borderId="0" xfId="0" applyNumberFormat="1" applyFont="1" applyFill="1" applyBorder="1" applyAlignment="1" applyProtection="1">
      <alignment vertical="center"/>
    </xf>
    <xf numFmtId="0" fontId="4" fillId="3" borderId="0" xfId="0" applyNumberFormat="1" applyFont="1" applyFill="1" applyBorder="1" applyAlignment="1" applyProtection="1">
      <alignment vertical="center"/>
    </xf>
    <xf numFmtId="3" fontId="4" fillId="3" borderId="0" xfId="2" applyNumberFormat="1" applyFont="1" applyFill="1" applyBorder="1" applyAlignment="1" applyProtection="1">
      <alignment horizontal="center" vertical="center"/>
    </xf>
    <xf numFmtId="9" fontId="34" fillId="3" borderId="0" xfId="1" applyNumberFormat="1" applyFont="1" applyFill="1" applyBorder="1" applyAlignment="1" applyProtection="1">
      <alignment horizontal="left"/>
    </xf>
    <xf numFmtId="9" fontId="4" fillId="3" borderId="0" xfId="1" applyFont="1" applyFill="1" applyBorder="1" applyAlignment="1" applyProtection="1">
      <alignment horizontal="center"/>
    </xf>
    <xf numFmtId="3" fontId="4" fillId="3" borderId="0" xfId="2" applyNumberFormat="1" applyFont="1" applyFill="1" applyBorder="1" applyAlignment="1" applyProtection="1">
      <alignment horizontal="center"/>
    </xf>
    <xf numFmtId="0" fontId="4" fillId="0" borderId="0" xfId="0" applyFont="1" applyFill="1" applyBorder="1" applyAlignment="1" applyProtection="1">
      <alignment horizontal="center" vertical="center" textRotation="255"/>
    </xf>
    <xf numFmtId="3" fontId="4" fillId="0" borderId="0" xfId="2" applyNumberFormat="1" applyFont="1" applyFill="1" applyBorder="1" applyAlignment="1" applyProtection="1">
      <alignment horizontal="center" vertical="center"/>
    </xf>
    <xf numFmtId="9" fontId="34" fillId="0" borderId="0" xfId="1" applyNumberFormat="1" applyFont="1" applyFill="1" applyBorder="1" applyAlignment="1" applyProtection="1">
      <alignment horizontal="left"/>
    </xf>
    <xf numFmtId="9" fontId="4" fillId="0" borderId="0" xfId="1" applyFont="1" applyFill="1" applyAlignment="1" applyProtection="1">
      <alignment horizontal="center"/>
    </xf>
    <xf numFmtId="0" fontId="4" fillId="3" borderId="11" xfId="0" applyNumberFormat="1" applyFont="1" applyFill="1" applyBorder="1" applyAlignment="1" applyProtection="1">
      <alignment vertical="center"/>
    </xf>
    <xf numFmtId="0" fontId="4" fillId="3" borderId="6" xfId="0" applyNumberFormat="1" applyFont="1" applyFill="1" applyBorder="1" applyAlignment="1" applyProtection="1">
      <alignment vertical="center"/>
    </xf>
    <xf numFmtId="3" fontId="4" fillId="3" borderId="6" xfId="2" applyNumberFormat="1"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5" xfId="0" applyFont="1" applyFill="1" applyBorder="1" applyAlignment="1" applyProtection="1">
      <alignment vertical="top"/>
    </xf>
    <xf numFmtId="0" fontId="4" fillId="3" borderId="8" xfId="0" applyFont="1" applyFill="1" applyBorder="1" applyAlignment="1" applyProtection="1">
      <alignment vertical="top"/>
    </xf>
    <xf numFmtId="3" fontId="4" fillId="3" borderId="8" xfId="0" applyNumberFormat="1" applyFont="1" applyFill="1" applyBorder="1" applyAlignment="1" applyProtection="1">
      <alignment horizontal="center" vertical="top"/>
    </xf>
    <xf numFmtId="0" fontId="4" fillId="3" borderId="8" xfId="0" applyFont="1" applyFill="1" applyBorder="1" applyAlignment="1" applyProtection="1">
      <alignment horizontal="center" vertical="top"/>
    </xf>
    <xf numFmtId="165" fontId="4" fillId="0" borderId="0" xfId="2" applyNumberFormat="1" applyFont="1" applyAlignment="1" applyProtection="1">
      <alignment horizontal="left"/>
    </xf>
    <xf numFmtId="165" fontId="4" fillId="0" borderId="0" xfId="2" applyNumberFormat="1" applyFont="1" applyAlignment="1" applyProtection="1">
      <alignment vertical="center"/>
    </xf>
    <xf numFmtId="0" fontId="4" fillId="0" borderId="0" xfId="0" applyNumberFormat="1" applyFont="1" applyFill="1" applyBorder="1" applyAlignment="1" applyProtection="1">
      <alignment horizontal="left"/>
    </xf>
    <xf numFmtId="0" fontId="4" fillId="0" borderId="0" xfId="0" applyNumberFormat="1" applyFont="1" applyBorder="1" applyAlignment="1" applyProtection="1">
      <alignment vertical="top"/>
    </xf>
    <xf numFmtId="0" fontId="4" fillId="0" borderId="0" xfId="0" applyFont="1" applyBorder="1" applyAlignment="1" applyProtection="1">
      <alignment vertical="top"/>
    </xf>
    <xf numFmtId="0" fontId="46" fillId="3" borderId="23" xfId="0" applyFont="1" applyFill="1" applyBorder="1" applyAlignment="1" applyProtection="1">
      <alignment horizontal="center" vertical="top" textRotation="255"/>
      <protection locked="0"/>
    </xf>
    <xf numFmtId="0" fontId="46" fillId="3" borderId="24" xfId="0" applyFont="1" applyFill="1" applyBorder="1" applyAlignment="1" applyProtection="1">
      <alignment horizontal="center" vertical="top" textRotation="255"/>
      <protection locked="0"/>
    </xf>
    <xf numFmtId="9" fontId="4" fillId="3" borderId="0" xfId="1" applyNumberFormat="1" applyFont="1" applyFill="1" applyBorder="1" applyAlignment="1" applyProtection="1">
      <alignment horizontal="center"/>
    </xf>
    <xf numFmtId="9" fontId="4" fillId="3" borderId="6" xfId="1" applyNumberFormat="1" applyFont="1" applyFill="1" applyBorder="1" applyAlignment="1" applyProtection="1">
      <alignment horizontal="left" vertical="center"/>
    </xf>
    <xf numFmtId="9" fontId="4" fillId="3" borderId="8" xfId="1" applyFont="1" applyFill="1" applyBorder="1" applyAlignment="1" applyProtection="1">
      <alignment horizontal="left" vertical="top"/>
    </xf>
    <xf numFmtId="9" fontId="4" fillId="3" borderId="0" xfId="1" applyNumberFormat="1" applyFont="1" applyFill="1" applyBorder="1" applyAlignment="1" applyProtection="1">
      <alignment horizontal="left"/>
    </xf>
    <xf numFmtId="9" fontId="4" fillId="0" borderId="0" xfId="1" applyNumberFormat="1" applyFont="1" applyFill="1" applyBorder="1" applyAlignment="1" applyProtection="1">
      <alignment horizontal="left"/>
    </xf>
    <xf numFmtId="9" fontId="4" fillId="3" borderId="12" xfId="1" applyNumberFormat="1" applyFont="1" applyFill="1" applyBorder="1" applyAlignment="1" applyProtection="1">
      <alignment horizontal="left" vertical="center"/>
    </xf>
    <xf numFmtId="9" fontId="4" fillId="3" borderId="29" xfId="1" applyFont="1" applyFill="1" applyBorder="1" applyAlignment="1" applyProtection="1">
      <alignment horizontal="left" vertical="top"/>
    </xf>
    <xf numFmtId="0" fontId="47" fillId="0" borderId="0" xfId="0" applyFont="1" applyAlignment="1" applyProtection="1"/>
    <xf numFmtId="0" fontId="48" fillId="0" borderId="0" xfId="0" applyFont="1" applyAlignment="1" applyProtection="1">
      <alignment horizontal="left"/>
    </xf>
    <xf numFmtId="0" fontId="41" fillId="3" borderId="0" xfId="0" applyFont="1" applyFill="1" applyAlignment="1" applyProtection="1">
      <alignment horizontal="center"/>
    </xf>
    <xf numFmtId="0" fontId="11" fillId="3" borderId="8" xfId="0" applyFont="1" applyFill="1" applyBorder="1" applyAlignment="1" applyProtection="1">
      <alignment horizontal="center" vertical="center" wrapText="1"/>
    </xf>
    <xf numFmtId="0" fontId="11" fillId="0" borderId="0" xfId="0" applyNumberFormat="1" applyFont="1" applyAlignment="1" applyProtection="1">
      <alignment horizontal="left"/>
    </xf>
    <xf numFmtId="0" fontId="4" fillId="0" borderId="13" xfId="0" applyNumberFormat="1" applyFont="1" applyFill="1" applyBorder="1" applyAlignment="1" applyProtection="1">
      <alignment horizontal="left"/>
      <protection locked="0"/>
    </xf>
    <xf numFmtId="0" fontId="4" fillId="0" borderId="13" xfId="0" applyNumberFormat="1" applyFont="1" applyFill="1" applyBorder="1" applyAlignment="1" applyProtection="1">
      <alignment horizontal="left" vertical="center"/>
      <protection locked="0"/>
    </xf>
    <xf numFmtId="3" fontId="8" fillId="0" borderId="0" xfId="0" applyNumberFormat="1" applyFont="1" applyBorder="1" applyAlignment="1" applyProtection="1">
      <alignment horizontal="center"/>
    </xf>
    <xf numFmtId="3" fontId="34" fillId="0" borderId="0" xfId="0" applyNumberFormat="1" applyFont="1" applyAlignment="1" applyProtection="1">
      <alignment horizontal="left"/>
    </xf>
    <xf numFmtId="0" fontId="34" fillId="0" borderId="0" xfId="0" applyFont="1" applyProtection="1"/>
    <xf numFmtId="0" fontId="34" fillId="0" borderId="0" xfId="0" applyFont="1" applyAlignment="1" applyProtection="1">
      <alignment horizontal="center"/>
    </xf>
    <xf numFmtId="0" fontId="5" fillId="0" borderId="0" xfId="0" applyFont="1" applyProtection="1"/>
    <xf numFmtId="3" fontId="34" fillId="0" borderId="0" xfId="0" applyNumberFormat="1" applyFont="1" applyProtection="1"/>
    <xf numFmtId="3" fontId="4" fillId="3" borderId="10" xfId="2" applyNumberFormat="1" applyFont="1" applyFill="1" applyBorder="1" applyAlignment="1" applyProtection="1">
      <alignment horizontal="center" vertical="center" wrapText="1"/>
    </xf>
    <xf numFmtId="3" fontId="34" fillId="0" borderId="0" xfId="0" applyNumberFormat="1" applyFont="1" applyAlignment="1" applyProtection="1">
      <alignment horizontal="center" wrapText="1"/>
    </xf>
    <xf numFmtId="0" fontId="34" fillId="0" borderId="0" xfId="0" applyFont="1" applyAlignment="1" applyProtection="1">
      <alignment horizontal="center" wrapText="1"/>
    </xf>
    <xf numFmtId="0" fontId="49" fillId="0" borderId="0" xfId="0" applyFont="1" applyProtection="1"/>
    <xf numFmtId="0" fontId="11" fillId="0" borderId="0" xfId="0" applyFont="1" applyProtection="1"/>
    <xf numFmtId="3" fontId="25" fillId="0" borderId="0" xfId="2" applyNumberFormat="1" applyFont="1" applyAlignment="1" applyProtection="1">
      <alignment horizontal="center"/>
    </xf>
    <xf numFmtId="37" fontId="34" fillId="0" borderId="0" xfId="2" applyNumberFormat="1" applyFont="1" applyAlignment="1" applyProtection="1">
      <alignment horizontal="center"/>
    </xf>
    <xf numFmtId="165" fontId="34" fillId="0" borderId="0" xfId="2" applyNumberFormat="1" applyFont="1" applyAlignment="1" applyProtection="1">
      <alignment horizontal="center"/>
    </xf>
    <xf numFmtId="0" fontId="4" fillId="3" borderId="10" xfId="0" applyFont="1" applyFill="1" applyBorder="1" applyAlignment="1" applyProtection="1">
      <alignment horizontal="center" vertical="center"/>
    </xf>
    <xf numFmtId="3" fontId="34" fillId="0" borderId="0" xfId="0" applyNumberFormat="1" applyFont="1" applyAlignment="1" applyProtection="1">
      <alignment horizontal="center" vertical="center"/>
    </xf>
    <xf numFmtId="0" fontId="34" fillId="0" borderId="0" xfId="0" applyFont="1" applyAlignment="1" applyProtection="1">
      <alignment vertical="top"/>
    </xf>
    <xf numFmtId="0" fontId="5" fillId="0" borderId="0" xfId="0" applyFont="1" applyAlignment="1" applyProtection="1">
      <alignment vertical="top"/>
    </xf>
    <xf numFmtId="3" fontId="4" fillId="3" borderId="23" xfId="2" applyNumberFormat="1" applyFont="1" applyFill="1" applyBorder="1" applyAlignment="1" applyProtection="1">
      <alignment horizontal="center" vertical="center" wrapText="1"/>
    </xf>
    <xf numFmtId="3" fontId="34" fillId="0" borderId="0" xfId="0" applyNumberFormat="1" applyFont="1" applyFill="1" applyBorder="1" applyAlignment="1" applyProtection="1">
      <alignment horizontal="center" vertical="center"/>
    </xf>
    <xf numFmtId="165" fontId="34" fillId="0" borderId="0" xfId="2" applyNumberFormat="1" applyFont="1" applyAlignment="1" applyProtection="1">
      <alignment horizontal="center" vertical="center"/>
    </xf>
    <xf numFmtId="3" fontId="34" fillId="0" borderId="0" xfId="2" applyNumberFormat="1" applyFont="1" applyAlignment="1" applyProtection="1">
      <alignment horizontal="center" vertical="center"/>
    </xf>
    <xf numFmtId="0" fontId="34" fillId="0" borderId="0" xfId="0" applyFont="1" applyAlignment="1" applyProtection="1">
      <alignment horizontal="center" vertical="top"/>
    </xf>
    <xf numFmtId="0" fontId="4" fillId="0" borderId="0" xfId="0" applyFont="1" applyFill="1" applyBorder="1" applyAlignment="1" applyProtection="1">
      <alignment horizontal="left" vertical="center" wrapText="1"/>
    </xf>
    <xf numFmtId="0" fontId="4" fillId="0" borderId="0" xfId="0" applyFont="1" applyAlignment="1">
      <alignment horizontal="left" vertical="top" wrapText="1"/>
    </xf>
    <xf numFmtId="9" fontId="4" fillId="0" borderId="22" xfId="1" applyFont="1" applyBorder="1" applyAlignment="1" applyProtection="1">
      <alignment horizontal="center"/>
      <protection locked="0"/>
    </xf>
    <xf numFmtId="9" fontId="4" fillId="0" borderId="24" xfId="1" applyFont="1" applyBorder="1" applyAlignment="1" applyProtection="1">
      <alignment horizontal="center"/>
      <protection locked="0"/>
    </xf>
    <xf numFmtId="0" fontId="4" fillId="3" borderId="0" xfId="0" applyFont="1" applyFill="1" applyAlignment="1" applyProtection="1">
      <alignment horizontal="center"/>
    </xf>
    <xf numFmtId="0" fontId="34" fillId="0" borderId="10" xfId="0" applyFont="1" applyFill="1" applyBorder="1" applyAlignment="1" applyProtection="1">
      <alignment horizontal="right" vertical="center"/>
      <protection locked="0"/>
    </xf>
    <xf numFmtId="0" fontId="3" fillId="0" borderId="0" xfId="0" applyFont="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5" fillId="0" borderId="0" xfId="0" applyFont="1" applyAlignment="1" applyProtection="1"/>
    <xf numFmtId="0" fontId="5" fillId="0" borderId="0" xfId="0" quotePrefix="1" applyFont="1" applyProtection="1"/>
    <xf numFmtId="0" fontId="34" fillId="0" borderId="0" xfId="0" applyFont="1" applyAlignment="1" applyProtection="1">
      <alignment horizontal="right"/>
    </xf>
    <xf numFmtId="0" fontId="53" fillId="0" borderId="0" xfId="0" applyFont="1" applyAlignment="1" applyProtection="1">
      <alignment horizontal="right"/>
    </xf>
    <xf numFmtId="0" fontId="4" fillId="3" borderId="0" xfId="0" applyFont="1" applyFill="1" applyBorder="1" applyAlignment="1">
      <alignment horizontal="center" vertical="center" textRotation="255"/>
    </xf>
    <xf numFmtId="3" fontId="13" fillId="0" borderId="0" xfId="2" applyNumberFormat="1" applyFont="1" applyFill="1" applyBorder="1" applyAlignment="1" applyProtection="1">
      <alignment horizontal="center" vertical="center"/>
      <protection locked="0"/>
    </xf>
    <xf numFmtId="3" fontId="4" fillId="0" borderId="8" xfId="2" applyNumberFormat="1" applyFont="1" applyFill="1" applyBorder="1" applyAlignment="1">
      <alignment horizontal="center"/>
    </xf>
    <xf numFmtId="3" fontId="4" fillId="0" borderId="29" xfId="2" applyNumberFormat="1" applyFont="1" applyFill="1" applyBorder="1" applyAlignment="1">
      <alignment horizontal="center" vertical="center"/>
    </xf>
    <xf numFmtId="0" fontId="4" fillId="0" borderId="0" xfId="0" applyFont="1" applyFill="1" applyBorder="1" applyAlignment="1" applyProtection="1">
      <alignment horizontal="left" vertical="center" wrapText="1"/>
    </xf>
    <xf numFmtId="0" fontId="34" fillId="0" borderId="0" xfId="0" applyNumberFormat="1" applyFont="1" applyFill="1" applyBorder="1" applyAlignment="1">
      <alignment horizontal="left"/>
    </xf>
    <xf numFmtId="0" fontId="54" fillId="0" borderId="0" xfId="0" applyFont="1" applyProtection="1"/>
    <xf numFmtId="0" fontId="4" fillId="0" borderId="17" xfId="0" applyFont="1" applyFill="1" applyBorder="1" applyAlignment="1" applyProtection="1">
      <alignment horizontal="center" vertical="center"/>
    </xf>
    <xf numFmtId="3" fontId="4" fillId="0" borderId="0" xfId="2" applyNumberFormat="1" applyFont="1" applyAlignment="1" applyProtection="1">
      <alignment horizontal="center" vertical="top"/>
    </xf>
    <xf numFmtId="0" fontId="4" fillId="0" borderId="0" xfId="0" applyFont="1" applyAlignment="1"/>
    <xf numFmtId="0" fontId="25" fillId="0" borderId="0" xfId="0" applyFont="1" applyFill="1" applyBorder="1" applyAlignment="1" applyProtection="1"/>
    <xf numFmtId="0" fontId="36" fillId="0" borderId="10" xfId="0" applyFont="1" applyBorder="1" applyAlignment="1" applyProtection="1">
      <alignment horizontal="center"/>
    </xf>
    <xf numFmtId="166" fontId="37" fillId="0" borderId="0" xfId="0" applyNumberFormat="1" applyFont="1" applyAlignment="1" applyProtection="1">
      <alignment horizontal="center"/>
    </xf>
    <xf numFmtId="0" fontId="35" fillId="0" borderId="0" xfId="0" applyFont="1" applyProtection="1"/>
    <xf numFmtId="3" fontId="36" fillId="0" borderId="10" xfId="0" applyNumberFormat="1" applyFont="1" applyBorder="1" applyAlignment="1" applyProtection="1">
      <alignment horizontal="center"/>
    </xf>
    <xf numFmtId="167" fontId="36" fillId="0" borderId="10" xfId="1" applyNumberFormat="1" applyFont="1" applyBorder="1" applyAlignment="1" applyProtection="1">
      <alignment horizontal="center"/>
    </xf>
    <xf numFmtId="0" fontId="37" fillId="0" borderId="0" xfId="0" applyFont="1" applyProtection="1"/>
    <xf numFmtId="0" fontId="37" fillId="0" borderId="0" xfId="0" applyFont="1" applyAlignment="1" applyProtection="1">
      <alignment horizontal="left"/>
    </xf>
    <xf numFmtId="3" fontId="38" fillId="0" borderId="17" xfId="0" applyNumberFormat="1" applyFont="1" applyBorder="1" applyAlignment="1" applyProtection="1">
      <alignment horizontal="center" vertical="center"/>
    </xf>
    <xf numFmtId="9" fontId="36" fillId="0" borderId="10" xfId="1" applyFont="1" applyBorder="1" applyAlignment="1" applyProtection="1">
      <alignment horizontal="center"/>
    </xf>
    <xf numFmtId="0" fontId="39" fillId="0" borderId="10" xfId="0" applyFont="1" applyFill="1" applyBorder="1" applyAlignment="1" applyProtection="1">
      <alignment horizontal="right" vertical="center"/>
    </xf>
    <xf numFmtId="167" fontId="36" fillId="0" borderId="10" xfId="1" applyNumberFormat="1" applyFont="1" applyBorder="1" applyAlignment="1" applyProtection="1">
      <alignment horizontal="center" vertical="center"/>
    </xf>
    <xf numFmtId="0" fontId="37" fillId="0" borderId="0" xfId="0" applyFont="1" applyAlignment="1" applyProtection="1">
      <alignment vertical="center"/>
    </xf>
    <xf numFmtId="0" fontId="38" fillId="0" borderId="0" xfId="0" applyFont="1" applyAlignment="1" applyProtection="1">
      <alignment horizontal="left" vertical="top"/>
    </xf>
    <xf numFmtId="3" fontId="38" fillId="0" borderId="10" xfId="0" applyNumberFormat="1" applyFont="1" applyBorder="1" applyAlignment="1" applyProtection="1">
      <alignment horizontal="center" vertical="center"/>
    </xf>
    <xf numFmtId="0" fontId="38" fillId="0" borderId="0" xfId="0" applyFont="1" applyAlignment="1" applyProtection="1">
      <alignment vertical="top" wrapText="1"/>
    </xf>
    <xf numFmtId="0" fontId="38" fillId="6" borderId="13" xfId="0" applyFont="1" applyFill="1" applyBorder="1" applyAlignment="1" applyProtection="1">
      <alignment horizontal="right" wrapText="1"/>
    </xf>
    <xf numFmtId="0" fontId="38" fillId="3" borderId="0" xfId="0" applyFont="1" applyFill="1" applyBorder="1" applyAlignment="1" applyProtection="1">
      <alignment horizontal="right" wrapText="1"/>
    </xf>
    <xf numFmtId="9" fontId="38" fillId="3" borderId="0" xfId="0" applyNumberFormat="1" applyFont="1" applyFill="1" applyBorder="1" applyAlignment="1" applyProtection="1">
      <alignment horizontal="right" wrapText="1"/>
    </xf>
    <xf numFmtId="9" fontId="38" fillId="3" borderId="14" xfId="0" applyNumberFormat="1" applyFont="1" applyFill="1" applyBorder="1" applyAlignment="1" applyProtection="1">
      <alignment horizontal="center" wrapText="1"/>
    </xf>
    <xf numFmtId="3" fontId="38" fillId="6" borderId="13" xfId="0" applyNumberFormat="1" applyFont="1" applyFill="1" applyBorder="1" applyAlignment="1" applyProtection="1">
      <alignment horizontal="right" wrapText="1"/>
    </xf>
    <xf numFmtId="3" fontId="38" fillId="3" borderId="0" xfId="0" applyNumberFormat="1" applyFont="1" applyFill="1" applyBorder="1" applyAlignment="1" applyProtection="1">
      <alignment horizontal="right" wrapText="1"/>
    </xf>
    <xf numFmtId="3" fontId="38" fillId="6" borderId="15" xfId="0" applyNumberFormat="1" applyFont="1" applyFill="1" applyBorder="1" applyAlignment="1" applyProtection="1">
      <alignment horizontal="right" wrapText="1"/>
    </xf>
    <xf numFmtId="3" fontId="38" fillId="3" borderId="8" xfId="0" applyNumberFormat="1" applyFont="1" applyFill="1" applyBorder="1" applyAlignment="1" applyProtection="1">
      <alignment horizontal="right" wrapText="1"/>
    </xf>
    <xf numFmtId="9" fontId="38" fillId="3" borderId="8" xfId="0" applyNumberFormat="1" applyFont="1" applyFill="1" applyBorder="1" applyAlignment="1" applyProtection="1">
      <alignment horizontal="right" wrapText="1"/>
    </xf>
    <xf numFmtId="9" fontId="38" fillId="3" borderId="29" xfId="0" applyNumberFormat="1" applyFont="1" applyFill="1" applyBorder="1" applyAlignment="1" applyProtection="1">
      <alignment horizontal="center" wrapText="1"/>
    </xf>
    <xf numFmtId="0" fontId="38" fillId="0" borderId="11" xfId="0" applyFont="1" applyBorder="1" applyAlignment="1" applyProtection="1">
      <alignment horizontal="left"/>
    </xf>
    <xf numFmtId="0" fontId="38" fillId="0" borderId="6" xfId="0" applyFont="1" applyBorder="1" applyAlignment="1" applyProtection="1">
      <alignment horizontal="center"/>
    </xf>
    <xf numFmtId="0" fontId="38" fillId="0" borderId="6" xfId="0" applyFont="1" applyBorder="1" applyProtection="1"/>
    <xf numFmtId="0" fontId="43" fillId="0" borderId="12" xfId="0" applyFont="1" applyBorder="1" applyAlignment="1" applyProtection="1">
      <alignment horizontal="center"/>
    </xf>
    <xf numFmtId="0" fontId="38" fillId="0" borderId="13" xfId="0" applyFont="1" applyBorder="1" applyProtection="1"/>
    <xf numFmtId="3" fontId="38" fillId="0" borderId="10" xfId="0" applyNumberFormat="1" applyFont="1" applyBorder="1" applyAlignment="1" applyProtection="1">
      <alignment horizontal="center"/>
    </xf>
    <xf numFmtId="0" fontId="38" fillId="0" borderId="0" xfId="0" applyFont="1" applyBorder="1" applyProtection="1"/>
    <xf numFmtId="167" fontId="44" fillId="0" borderId="14" xfId="0" applyNumberFormat="1" applyFont="1" applyBorder="1" applyAlignment="1" applyProtection="1">
      <alignment horizontal="center"/>
    </xf>
    <xf numFmtId="3" fontId="41" fillId="3" borderId="0" xfId="0" applyNumberFormat="1" applyFont="1" applyFill="1" applyBorder="1" applyAlignment="1" applyProtection="1">
      <alignment horizontal="center"/>
    </xf>
    <xf numFmtId="0" fontId="43" fillId="0" borderId="14" xfId="0" applyFont="1" applyBorder="1" applyAlignment="1" applyProtection="1">
      <alignment horizontal="center"/>
    </xf>
    <xf numFmtId="3" fontId="38" fillId="0" borderId="0" xfId="2" applyNumberFormat="1" applyFont="1" applyBorder="1" applyAlignment="1" applyProtection="1">
      <alignment horizontal="center"/>
    </xf>
    <xf numFmtId="0" fontId="38" fillId="0" borderId="14" xfId="0" applyFont="1" applyBorder="1" applyProtection="1"/>
    <xf numFmtId="3" fontId="38" fillId="3" borderId="32" xfId="2" applyNumberFormat="1" applyFont="1" applyFill="1" applyBorder="1" applyAlignment="1" applyProtection="1">
      <alignment horizontal="center"/>
    </xf>
    <xf numFmtId="0" fontId="38" fillId="0" borderId="15" xfId="0" applyFont="1" applyBorder="1" applyProtection="1"/>
    <xf numFmtId="0" fontId="38" fillId="0" borderId="8" xfId="0" applyFont="1" applyBorder="1" applyProtection="1"/>
    <xf numFmtId="0" fontId="38" fillId="0" borderId="29" xfId="0" applyFont="1" applyBorder="1" applyProtection="1"/>
    <xf numFmtId="0" fontId="0" fillId="3" borderId="10" xfId="0" applyFill="1" applyBorder="1" applyAlignment="1" applyProtection="1">
      <alignment horizontal="center" vertical="center"/>
    </xf>
    <xf numFmtId="0" fontId="29" fillId="0" borderId="0" xfId="0" applyFont="1" applyAlignment="1" applyProtection="1">
      <alignment horizontal="left" vertical="top" wrapText="1"/>
    </xf>
    <xf numFmtId="3" fontId="27" fillId="3" borderId="23" xfId="2" applyNumberFormat="1" applyFont="1" applyFill="1" applyBorder="1" applyAlignment="1" applyProtection="1">
      <alignment horizontal="center" vertical="center" wrapText="1"/>
    </xf>
    <xf numFmtId="3" fontId="28" fillId="0" borderId="0" xfId="0" applyNumberFormat="1" applyFont="1" applyAlignment="1" applyProtection="1">
      <alignment horizontal="center" vertical="center"/>
    </xf>
    <xf numFmtId="0" fontId="28" fillId="0" borderId="0" xfId="0" applyFont="1" applyAlignment="1" applyProtection="1">
      <alignment vertical="top"/>
    </xf>
    <xf numFmtId="0" fontId="0" fillId="0" borderId="0" xfId="0" applyAlignment="1" applyProtection="1">
      <alignment vertical="top"/>
    </xf>
    <xf numFmtId="0" fontId="29" fillId="0" borderId="0" xfId="0" applyFont="1" applyFill="1" applyBorder="1" applyAlignment="1" applyProtection="1">
      <alignment horizontal="left" vertical="top" wrapText="1"/>
    </xf>
    <xf numFmtId="3" fontId="28" fillId="0" borderId="0" xfId="0" applyNumberFormat="1" applyFont="1" applyFill="1" applyBorder="1" applyAlignment="1" applyProtection="1">
      <alignment horizontal="center" vertical="center"/>
    </xf>
    <xf numFmtId="165" fontId="4" fillId="0" borderId="13" xfId="2" applyNumberFormat="1" applyFont="1" applyBorder="1" applyAlignment="1" applyProtection="1">
      <alignment vertical="center"/>
    </xf>
    <xf numFmtId="0" fontId="56" fillId="0" borderId="0" xfId="0" applyFont="1" applyAlignment="1" applyProtection="1">
      <alignment horizontal="center"/>
    </xf>
    <xf numFmtId="3" fontId="48" fillId="0" borderId="0" xfId="2"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xf>
    <xf numFmtId="3" fontId="4" fillId="0" borderId="10" xfId="0" applyNumberFormat="1" applyFont="1" applyBorder="1" applyAlignment="1" applyProtection="1">
      <alignment horizontal="center"/>
      <protection locked="0"/>
    </xf>
    <xf numFmtId="0" fontId="57" fillId="0" borderId="0" xfId="0" applyFont="1" applyProtection="1"/>
    <xf numFmtId="0" fontId="4" fillId="0" borderId="10" xfId="0" applyNumberFormat="1" applyFont="1" applyFill="1" applyBorder="1" applyAlignment="1" applyProtection="1">
      <alignment horizontal="center" vertical="center"/>
      <protection locked="0"/>
    </xf>
    <xf numFmtId="9" fontId="4" fillId="0" borderId="23" xfId="1" applyFont="1" applyBorder="1" applyAlignment="1" applyProtection="1">
      <alignment horizontal="center" vertical="center"/>
      <protection locked="0"/>
    </xf>
    <xf numFmtId="3" fontId="4" fillId="0" borderId="10" xfId="2" applyNumberFormat="1" applyFont="1" applyFill="1" applyBorder="1" applyAlignment="1" applyProtection="1">
      <alignment horizontal="center" vertical="center"/>
      <protection locked="0"/>
    </xf>
    <xf numFmtId="9" fontId="4" fillId="0" borderId="10" xfId="1" applyFont="1" applyFill="1" applyBorder="1" applyAlignment="1" applyProtection="1">
      <alignment horizontal="center" vertical="center"/>
      <protection locked="0"/>
    </xf>
    <xf numFmtId="0" fontId="37" fillId="0" borderId="10" xfId="0" applyFont="1" applyBorder="1" applyAlignment="1">
      <alignment horizontal="center" vertical="center"/>
    </xf>
    <xf numFmtId="0" fontId="4" fillId="0" borderId="0" xfId="0"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wrapText="1"/>
    </xf>
    <xf numFmtId="3" fontId="4" fillId="7" borderId="0" xfId="2" applyNumberFormat="1" applyFont="1" applyFill="1" applyBorder="1" applyAlignment="1">
      <alignment horizontal="center" vertical="center"/>
    </xf>
    <xf numFmtId="3" fontId="4" fillId="7" borderId="0" xfId="2" applyNumberFormat="1" applyFont="1" applyFill="1" applyBorder="1" applyAlignment="1">
      <alignment horizontal="center"/>
    </xf>
    <xf numFmtId="3" fontId="4" fillId="7" borderId="0" xfId="2" quotePrefix="1" applyNumberFormat="1" applyFont="1" applyFill="1" applyBorder="1" applyAlignment="1"/>
    <xf numFmtId="3" fontId="4" fillId="7" borderId="0" xfId="2" quotePrefix="1" applyNumberFormat="1" applyFont="1" applyFill="1" applyBorder="1" applyAlignment="1">
      <alignment horizontal="center" vertical="center"/>
    </xf>
    <xf numFmtId="3" fontId="4" fillId="8" borderId="0" xfId="2" applyNumberFormat="1" applyFont="1" applyFill="1" applyBorder="1" applyAlignment="1">
      <alignment horizontal="center" vertical="center"/>
    </xf>
    <xf numFmtId="3" fontId="4" fillId="8" borderId="0" xfId="2" quotePrefix="1" applyNumberFormat="1" applyFont="1" applyFill="1" applyBorder="1" applyAlignment="1"/>
    <xf numFmtId="0" fontId="7" fillId="8" borderId="1" xfId="0" applyNumberFormat="1" applyFont="1" applyFill="1" applyBorder="1" applyAlignment="1">
      <alignment horizontal="center" vertical="center"/>
    </xf>
    <xf numFmtId="0" fontId="7" fillId="8" borderId="1" xfId="0" applyNumberFormat="1" applyFont="1" applyFill="1" applyBorder="1" applyAlignment="1" applyProtection="1">
      <alignment horizontal="center" vertical="center"/>
    </xf>
    <xf numFmtId="0" fontId="65" fillId="3" borderId="1" xfId="0" applyNumberFormat="1" applyFont="1" applyFill="1" applyBorder="1" applyAlignment="1">
      <alignment horizontal="center" vertical="center"/>
    </xf>
    <xf numFmtId="0" fontId="65" fillId="3" borderId="3" xfId="0" applyNumberFormat="1" applyFont="1" applyFill="1" applyBorder="1" applyAlignment="1">
      <alignment vertical="center"/>
    </xf>
    <xf numFmtId="0" fontId="2" fillId="0" borderId="10" xfId="0" applyFont="1" applyFill="1" applyBorder="1" applyAlignment="1" applyProtection="1">
      <alignment horizontal="right" vertical="center"/>
      <protection locked="0"/>
    </xf>
    <xf numFmtId="0" fontId="4" fillId="0" borderId="0" xfId="0" applyFont="1" applyAlignment="1">
      <alignment horizontal="left" vertical="top" wrapText="1"/>
    </xf>
    <xf numFmtId="0" fontId="4" fillId="0" borderId="0" xfId="0" applyNumberFormat="1" applyFont="1" applyAlignment="1">
      <alignment horizontal="left" vertical="center" wrapText="1"/>
    </xf>
    <xf numFmtId="0" fontId="23" fillId="0" borderId="0" xfId="0" applyNumberFormat="1" applyFont="1" applyAlignment="1">
      <alignment horizontal="center" wrapText="1"/>
    </xf>
    <xf numFmtId="0" fontId="6" fillId="0" borderId="0" xfId="0" applyNumberFormat="1" applyFont="1" applyAlignment="1">
      <alignment horizontal="center" vertical="top" wrapText="1"/>
    </xf>
    <xf numFmtId="0" fontId="4" fillId="0" borderId="0" xfId="0" applyFont="1" applyAlignment="1">
      <alignment horizontal="left" vertical="center" wrapText="1"/>
    </xf>
    <xf numFmtId="0" fontId="4" fillId="4" borderId="16" xfId="0" applyNumberFormat="1" applyFont="1" applyFill="1" applyBorder="1" applyAlignment="1">
      <alignment horizontal="left" vertical="center" wrapText="1"/>
    </xf>
    <xf numFmtId="0" fontId="4" fillId="4" borderId="17" xfId="0" applyNumberFormat="1" applyFont="1" applyFill="1" applyBorder="1" applyAlignment="1">
      <alignment horizontal="left" vertical="center" wrapText="1"/>
    </xf>
    <xf numFmtId="0" fontId="4" fillId="4" borderId="18" xfId="0" applyNumberFormat="1" applyFont="1" applyFill="1" applyBorder="1" applyAlignment="1">
      <alignment horizontal="left" vertical="center" wrapText="1"/>
    </xf>
    <xf numFmtId="3" fontId="4" fillId="0" borderId="13" xfId="0" applyNumberFormat="1" applyFont="1" applyBorder="1" applyAlignment="1" applyProtection="1">
      <alignment horizontal="left"/>
    </xf>
    <xf numFmtId="3" fontId="4" fillId="0" borderId="0" xfId="0" applyNumberFormat="1" applyFont="1" applyBorder="1" applyAlignment="1" applyProtection="1">
      <alignment horizontal="left"/>
    </xf>
    <xf numFmtId="0" fontId="4" fillId="0" borderId="0" xfId="0" applyFont="1" applyAlignment="1" applyProtection="1">
      <alignment horizontal="left"/>
    </xf>
    <xf numFmtId="0" fontId="4" fillId="0" borderId="0" xfId="0" applyNumberFormat="1" applyFont="1" applyAlignment="1" applyProtection="1">
      <alignment horizontal="left"/>
    </xf>
    <xf numFmtId="0" fontId="4" fillId="0" borderId="14" xfId="0" applyNumberFormat="1" applyFont="1" applyBorder="1" applyAlignment="1" applyProtection="1">
      <alignment horizontal="left"/>
    </xf>
    <xf numFmtId="164" fontId="4" fillId="0" borderId="0" xfId="0" applyNumberFormat="1" applyFont="1" applyAlignment="1" applyProtection="1">
      <alignment horizontal="left"/>
    </xf>
    <xf numFmtId="164" fontId="4" fillId="0" borderId="14" xfId="0" applyNumberFormat="1" applyFont="1" applyBorder="1" applyAlignment="1" applyProtection="1">
      <alignment horizontal="left"/>
    </xf>
    <xf numFmtId="0" fontId="4" fillId="0" borderId="14" xfId="0" applyFont="1" applyBorder="1" applyAlignment="1" applyProtection="1">
      <alignment horizontal="left"/>
    </xf>
    <xf numFmtId="0" fontId="4" fillId="3" borderId="22" xfId="0" applyFont="1" applyFill="1" applyBorder="1" applyAlignment="1" applyProtection="1">
      <alignment horizontal="center" vertical="top" textRotation="255"/>
    </xf>
    <xf numFmtId="0" fontId="4" fillId="3" borderId="23" xfId="0" applyFont="1" applyFill="1" applyBorder="1" applyAlignment="1" applyProtection="1">
      <alignment horizontal="center" vertical="top" textRotation="255"/>
    </xf>
    <xf numFmtId="0" fontId="23" fillId="0" borderId="0" xfId="0" applyNumberFormat="1" applyFont="1" applyAlignment="1" applyProtection="1">
      <alignment horizontal="center" wrapText="1"/>
    </xf>
    <xf numFmtId="0" fontId="6" fillId="0" borderId="0" xfId="0" applyNumberFormat="1" applyFont="1" applyAlignment="1" applyProtection="1">
      <alignment horizontal="center" vertical="center" wrapText="1"/>
    </xf>
    <xf numFmtId="0" fontId="34" fillId="3" borderId="0" xfId="0" applyFont="1" applyFill="1" applyBorder="1" applyAlignment="1" applyProtection="1">
      <alignment horizontal="left" vertical="center" wrapText="1"/>
    </xf>
    <xf numFmtId="0" fontId="34" fillId="3" borderId="14" xfId="0" applyFont="1" applyFill="1" applyBorder="1" applyAlignment="1" applyProtection="1">
      <alignment horizontal="left" vertical="center" wrapText="1"/>
    </xf>
    <xf numFmtId="0" fontId="4" fillId="3" borderId="0" xfId="0" applyFont="1" applyFill="1" applyAlignment="1" applyProtection="1">
      <alignment horizontal="center" vertical="center" wrapText="1"/>
    </xf>
    <xf numFmtId="0" fontId="4" fillId="3" borderId="22" xfId="0" applyFont="1" applyFill="1" applyBorder="1" applyAlignment="1">
      <alignment horizontal="center" vertical="center" textRotation="255"/>
    </xf>
    <xf numFmtId="0" fontId="4" fillId="3" borderId="23" xfId="0" applyFont="1" applyFill="1" applyBorder="1" applyAlignment="1">
      <alignment horizontal="center" vertical="center" textRotation="255"/>
    </xf>
    <xf numFmtId="0" fontId="4" fillId="3" borderId="24" xfId="0" applyFont="1" applyFill="1" applyBorder="1" applyAlignment="1">
      <alignment horizontal="center" vertical="center" textRotation="255"/>
    </xf>
    <xf numFmtId="0" fontId="4" fillId="0" borderId="0" xfId="0" applyNumberFormat="1" applyFont="1" applyAlignment="1">
      <alignment horizontal="left" vertical="top" wrapText="1"/>
    </xf>
    <xf numFmtId="0" fontId="6" fillId="0" borderId="0" xfId="0" applyNumberFormat="1" applyFont="1" applyAlignment="1">
      <alignment horizontal="center" vertical="center" wrapText="1"/>
    </xf>
    <xf numFmtId="0" fontId="7" fillId="8" borderId="4" xfId="0" applyNumberFormat="1" applyFont="1" applyFill="1" applyBorder="1" applyAlignment="1">
      <alignment horizontal="center" vertical="center" wrapText="1"/>
    </xf>
    <xf numFmtId="0" fontId="7" fillId="8" borderId="5" xfId="0" applyNumberFormat="1" applyFont="1" applyFill="1" applyBorder="1" applyAlignment="1">
      <alignment horizontal="center" vertical="center" wrapText="1"/>
    </xf>
    <xf numFmtId="0" fontId="7" fillId="8" borderId="7" xfId="0" applyNumberFormat="1" applyFont="1" applyFill="1" applyBorder="1" applyAlignment="1">
      <alignment horizontal="center" vertical="center" wrapText="1"/>
    </xf>
    <xf numFmtId="0" fontId="25" fillId="0" borderId="0" xfId="0" applyNumberFormat="1" applyFont="1" applyAlignment="1">
      <alignment horizontal="center" vertical="top" wrapText="1"/>
    </xf>
    <xf numFmtId="3" fontId="64" fillId="0" borderId="6" xfId="2" quotePrefix="1" applyNumberFormat="1" applyFont="1" applyBorder="1" applyAlignment="1">
      <alignment horizontal="center" vertical="center" wrapText="1"/>
    </xf>
    <xf numFmtId="3" fontId="64" fillId="0" borderId="0" xfId="2" quotePrefix="1" applyNumberFormat="1" applyFont="1" applyBorder="1" applyAlignment="1">
      <alignment horizontal="center" vertical="center" wrapText="1"/>
    </xf>
    <xf numFmtId="0" fontId="4" fillId="0" borderId="1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5" fillId="3" borderId="17" xfId="0" applyFont="1" applyFill="1" applyBorder="1" applyAlignment="1" applyProtection="1">
      <alignment horizontal="left" vertical="center" wrapText="1"/>
    </xf>
    <xf numFmtId="0" fontId="25" fillId="3" borderId="18" xfId="0" applyFont="1" applyFill="1" applyBorder="1" applyAlignment="1" applyProtection="1">
      <alignment horizontal="left" vertical="center" wrapText="1"/>
    </xf>
    <xf numFmtId="0" fontId="23" fillId="0" borderId="0" xfId="0" applyFont="1" applyAlignment="1" applyProtection="1">
      <alignment horizontal="center" vertical="center"/>
    </xf>
    <xf numFmtId="0" fontId="4" fillId="0" borderId="0" xfId="0" applyFont="1" applyAlignment="1" applyProtection="1">
      <alignment horizontal="left" vertical="center" wrapText="1"/>
    </xf>
    <xf numFmtId="0" fontId="5" fillId="0" borderId="0" xfId="0" applyFont="1" applyAlignment="1" applyProtection="1">
      <alignment horizontal="center" vertical="top" wrapText="1"/>
    </xf>
    <xf numFmtId="0" fontId="60" fillId="0" borderId="0" xfId="0" applyFont="1" applyFill="1" applyBorder="1" applyAlignment="1" applyProtection="1">
      <alignment horizontal="left" vertical="center" wrapText="1"/>
    </xf>
    <xf numFmtId="0" fontId="4" fillId="0" borderId="0" xfId="0" applyNumberFormat="1" applyFont="1" applyBorder="1" applyAlignment="1">
      <alignment horizontal="left" vertical="top" wrapText="1"/>
    </xf>
    <xf numFmtId="0" fontId="6" fillId="0" borderId="0" xfId="0" applyNumberFormat="1" applyFont="1" applyAlignment="1">
      <alignment horizontal="center" wrapText="1"/>
    </xf>
    <xf numFmtId="3" fontId="4" fillId="0" borderId="0" xfId="2" quotePrefix="1" applyNumberFormat="1" applyFont="1" applyBorder="1" applyAlignment="1">
      <alignment horizontal="center" vertical="top" wrapText="1"/>
    </xf>
    <xf numFmtId="3" fontId="63" fillId="8" borderId="6" xfId="2" applyNumberFormat="1" applyFont="1" applyFill="1" applyBorder="1" applyAlignment="1">
      <alignment horizontal="center" vertical="center" wrapText="1"/>
    </xf>
    <xf numFmtId="3" fontId="63" fillId="8" borderId="0" xfId="2" applyNumberFormat="1" applyFont="1" applyFill="1" applyBorder="1" applyAlignment="1">
      <alignment horizontal="center" vertical="center" wrapText="1"/>
    </xf>
    <xf numFmtId="0" fontId="26" fillId="0" borderId="0" xfId="0" applyFont="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37" fillId="0" borderId="0" xfId="0" applyFont="1" applyBorder="1" applyAlignment="1" applyProtection="1">
      <alignment horizontal="left"/>
    </xf>
    <xf numFmtId="0" fontId="37" fillId="0" borderId="0" xfId="0" applyFont="1" applyAlignment="1" applyProtection="1">
      <alignment horizontal="left"/>
    </xf>
    <xf numFmtId="0" fontId="38" fillId="0" borderId="31" xfId="0" applyFont="1" applyBorder="1" applyAlignment="1" applyProtection="1">
      <alignment horizontal="left" vertical="center"/>
    </xf>
    <xf numFmtId="0" fontId="38" fillId="0" borderId="0" xfId="0" applyFont="1" applyAlignment="1" applyProtection="1">
      <alignment horizontal="left" vertical="center"/>
    </xf>
    <xf numFmtId="0" fontId="38" fillId="0" borderId="0" xfId="0" applyFont="1" applyAlignment="1" applyProtection="1">
      <alignment horizontal="center" vertical="top" wrapText="1"/>
    </xf>
    <xf numFmtId="0" fontId="42" fillId="5" borderId="11" xfId="0" applyFont="1" applyFill="1" applyBorder="1" applyAlignment="1" applyProtection="1">
      <alignment horizontal="center" vertical="center" wrapText="1"/>
    </xf>
    <xf numFmtId="0" fontId="42" fillId="5" borderId="6" xfId="0" applyFont="1" applyFill="1" applyBorder="1" applyAlignment="1" applyProtection="1">
      <alignment horizontal="center" vertical="center" wrapText="1"/>
    </xf>
    <xf numFmtId="0" fontId="42" fillId="5" borderId="12" xfId="0" applyFont="1" applyFill="1" applyBorder="1" applyAlignment="1" applyProtection="1">
      <alignment horizontal="center" vertical="center" wrapText="1"/>
    </xf>
    <xf numFmtId="0" fontId="4" fillId="0" borderId="13" xfId="0" applyNumberFormat="1" applyFont="1" applyBorder="1" applyAlignment="1">
      <alignment horizontal="center" wrapText="1"/>
    </xf>
    <xf numFmtId="0" fontId="4" fillId="0" borderId="0" xfId="0" applyNumberFormat="1" applyFont="1" applyBorder="1" applyAlignment="1">
      <alignment horizontal="center" wrapText="1"/>
    </xf>
    <xf numFmtId="165" fontId="4" fillId="0" borderId="13" xfId="2" applyNumberFormat="1" applyFont="1" applyBorder="1" applyAlignment="1">
      <alignment horizontal="center" vertical="center"/>
    </xf>
    <xf numFmtId="165" fontId="4" fillId="0" borderId="0" xfId="2" applyNumberFormat="1" applyFont="1" applyAlignment="1">
      <alignment horizontal="center" vertical="center"/>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cellXfs>
  <cellStyles count="4">
    <cellStyle name="Comma" xfId="2" builtinId="3"/>
    <cellStyle name="Normal" xfId="0" builtinId="0"/>
    <cellStyle name="Normal 2" xfId="3"/>
    <cellStyle name="Percent" xfId="1" builtinId="5"/>
  </cellStyles>
  <dxfs count="0"/>
  <tableStyles count="0" defaultTableStyle="TableStyleMedium9" defaultPivotStyle="PivotStyleLight16"/>
  <colors>
    <mruColors>
      <color rgb="FFFFFFCC"/>
      <color rgb="FF990000"/>
      <color rgb="FFF3F7ED"/>
      <color rgb="FF960000"/>
      <color rgb="FFA00000"/>
      <color rgb="FF800000"/>
      <color rgb="FF2E3917"/>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103192</xdr:colOff>
      <xdr:row>16</xdr:row>
      <xdr:rowOff>12002</xdr:rowOff>
    </xdr:from>
    <xdr:to>
      <xdr:col>0</xdr:col>
      <xdr:colOff>104780</xdr:colOff>
      <xdr:row>20</xdr:row>
      <xdr:rowOff>101651</xdr:rowOff>
    </xdr:to>
    <xdr:cxnSp macro="">
      <xdr:nvCxnSpPr>
        <xdr:cNvPr id="2" name="Straight Arrow Connector 1"/>
        <xdr:cNvCxnSpPr/>
      </xdr:nvCxnSpPr>
      <xdr:spPr bwMode="auto">
        <a:xfrm rot="5400000" flipH="1" flipV="1">
          <a:off x="-237795" y="3400989"/>
          <a:ext cx="683561" cy="1588"/>
        </a:xfrm>
        <a:prstGeom prst="straightConnector1">
          <a:avLst/>
        </a:prstGeom>
        <a:solidFill>
          <a:srgbClr val="FFFFFF"/>
        </a:solidFill>
        <a:ln w="3175" cap="flat" cmpd="sng" algn="ctr">
          <a:solidFill>
            <a:srgbClr val="000000"/>
          </a:solidFill>
          <a:prstDash val="solid"/>
          <a:round/>
          <a:headEnd type="none" w="med" len="med"/>
          <a:tailEnd type="arrow" w="sm" len="sm"/>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904875</xdr:colOff>
      <xdr:row>4</xdr:row>
      <xdr:rowOff>47625</xdr:rowOff>
    </xdr:from>
    <xdr:to>
      <xdr:col>9</xdr:col>
      <xdr:colOff>1219200</xdr:colOff>
      <xdr:row>4</xdr:row>
      <xdr:rowOff>276226</xdr:rowOff>
    </xdr:to>
    <xdr:sp macro="" textlink="">
      <xdr:nvSpPr>
        <xdr:cNvPr id="2" name="8-Point Star 1"/>
        <xdr:cNvSpPr/>
      </xdr:nvSpPr>
      <xdr:spPr bwMode="auto">
        <a:xfrm>
          <a:off x="8382000" y="1504950"/>
          <a:ext cx="314325" cy="228601"/>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9</xdr:col>
      <xdr:colOff>800100</xdr:colOff>
      <xdr:row>5</xdr:row>
      <xdr:rowOff>47625</xdr:rowOff>
    </xdr:from>
    <xdr:to>
      <xdr:col>9</xdr:col>
      <xdr:colOff>1114425</xdr:colOff>
      <xdr:row>5</xdr:row>
      <xdr:rowOff>266700</xdr:rowOff>
    </xdr:to>
    <xdr:sp macro="" textlink="">
      <xdr:nvSpPr>
        <xdr:cNvPr id="3" name="8-Point Star 2"/>
        <xdr:cNvSpPr/>
      </xdr:nvSpPr>
      <xdr:spPr bwMode="auto">
        <a:xfrm>
          <a:off x="8277225" y="2085975"/>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9</xdr:col>
      <xdr:colOff>819150</xdr:colOff>
      <xdr:row>6</xdr:row>
      <xdr:rowOff>219075</xdr:rowOff>
    </xdr:from>
    <xdr:to>
      <xdr:col>9</xdr:col>
      <xdr:colOff>1133475</xdr:colOff>
      <xdr:row>6</xdr:row>
      <xdr:rowOff>438150</xdr:rowOff>
    </xdr:to>
    <xdr:sp macro="" textlink="">
      <xdr:nvSpPr>
        <xdr:cNvPr id="4" name="8-Point Star 3"/>
        <xdr:cNvSpPr/>
      </xdr:nvSpPr>
      <xdr:spPr bwMode="auto">
        <a:xfrm>
          <a:off x="8296275" y="2981325"/>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9</xdr:col>
      <xdr:colOff>962024</xdr:colOff>
      <xdr:row>8</xdr:row>
      <xdr:rowOff>9524</xdr:rowOff>
    </xdr:from>
    <xdr:to>
      <xdr:col>10</xdr:col>
      <xdr:colOff>0</xdr:colOff>
      <xdr:row>8</xdr:row>
      <xdr:rowOff>247649</xdr:rowOff>
    </xdr:to>
    <xdr:sp macro="" textlink="">
      <xdr:nvSpPr>
        <xdr:cNvPr id="5" name="8-Point Star 4"/>
        <xdr:cNvSpPr/>
      </xdr:nvSpPr>
      <xdr:spPr bwMode="auto">
        <a:xfrm>
          <a:off x="8439149" y="2552699"/>
          <a:ext cx="276226" cy="23812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9</xdr:col>
      <xdr:colOff>142875</xdr:colOff>
      <xdr:row>5</xdr:row>
      <xdr:rowOff>514350</xdr:rowOff>
    </xdr:from>
    <xdr:to>
      <xdr:col>9</xdr:col>
      <xdr:colOff>457200</xdr:colOff>
      <xdr:row>6</xdr:row>
      <xdr:rowOff>9525</xdr:rowOff>
    </xdr:to>
    <xdr:sp macro="" textlink="">
      <xdr:nvSpPr>
        <xdr:cNvPr id="6" name="8-Point Star 5"/>
        <xdr:cNvSpPr/>
      </xdr:nvSpPr>
      <xdr:spPr bwMode="auto">
        <a:xfrm>
          <a:off x="7620000" y="255270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twoCellAnchor>
    <xdr:from>
      <xdr:col>9</xdr:col>
      <xdr:colOff>152400</xdr:colOff>
      <xdr:row>6</xdr:row>
      <xdr:rowOff>647700</xdr:rowOff>
    </xdr:from>
    <xdr:to>
      <xdr:col>9</xdr:col>
      <xdr:colOff>466725</xdr:colOff>
      <xdr:row>6</xdr:row>
      <xdr:rowOff>866775</xdr:rowOff>
    </xdr:to>
    <xdr:sp macro="" textlink="">
      <xdr:nvSpPr>
        <xdr:cNvPr id="7" name="8-Point Star 6"/>
        <xdr:cNvSpPr/>
      </xdr:nvSpPr>
      <xdr:spPr bwMode="auto">
        <a:xfrm>
          <a:off x="7629525" y="340995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twoCellAnchor>
    <xdr:from>
      <xdr:col>8</xdr:col>
      <xdr:colOff>409575</xdr:colOff>
      <xdr:row>8</xdr:row>
      <xdr:rowOff>790575</xdr:rowOff>
    </xdr:from>
    <xdr:to>
      <xdr:col>9</xdr:col>
      <xdr:colOff>295275</xdr:colOff>
      <xdr:row>8</xdr:row>
      <xdr:rowOff>1009650</xdr:rowOff>
    </xdr:to>
    <xdr:sp macro="" textlink="">
      <xdr:nvSpPr>
        <xdr:cNvPr id="8" name="8-Point Star 7"/>
        <xdr:cNvSpPr/>
      </xdr:nvSpPr>
      <xdr:spPr bwMode="auto">
        <a:xfrm>
          <a:off x="7458075" y="333375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twoCellAnchor>
    <xdr:from>
      <xdr:col>0</xdr:col>
      <xdr:colOff>123824</xdr:colOff>
      <xdr:row>15</xdr:row>
      <xdr:rowOff>38100</xdr:rowOff>
    </xdr:from>
    <xdr:to>
      <xdr:col>1</xdr:col>
      <xdr:colOff>180974</xdr:colOff>
      <xdr:row>17</xdr:row>
      <xdr:rowOff>57151</xdr:rowOff>
    </xdr:to>
    <xdr:sp macro="" textlink="">
      <xdr:nvSpPr>
        <xdr:cNvPr id="9" name="8-Point Star 8"/>
        <xdr:cNvSpPr/>
      </xdr:nvSpPr>
      <xdr:spPr bwMode="auto">
        <a:xfrm>
          <a:off x="123824" y="5848350"/>
          <a:ext cx="295275" cy="295276"/>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1</xdr:col>
      <xdr:colOff>9525</xdr:colOff>
      <xdr:row>18</xdr:row>
      <xdr:rowOff>0</xdr:rowOff>
    </xdr:from>
    <xdr:to>
      <xdr:col>1</xdr:col>
      <xdr:colOff>323850</xdr:colOff>
      <xdr:row>19</xdr:row>
      <xdr:rowOff>19050</xdr:rowOff>
    </xdr:to>
    <xdr:sp macro="" textlink="">
      <xdr:nvSpPr>
        <xdr:cNvPr id="10" name="8-Point Star 9"/>
        <xdr:cNvSpPr/>
      </xdr:nvSpPr>
      <xdr:spPr bwMode="auto">
        <a:xfrm>
          <a:off x="4819650" y="619125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twoCellAnchor>
    <xdr:from>
      <xdr:col>8</xdr:col>
      <xdr:colOff>38100</xdr:colOff>
      <xdr:row>12</xdr:row>
      <xdr:rowOff>19050</xdr:rowOff>
    </xdr:from>
    <xdr:to>
      <xdr:col>8</xdr:col>
      <xdr:colOff>352425</xdr:colOff>
      <xdr:row>13</xdr:row>
      <xdr:rowOff>28575</xdr:rowOff>
    </xdr:to>
    <xdr:sp macro="" textlink="">
      <xdr:nvSpPr>
        <xdr:cNvPr id="11" name="8-Point Star 10"/>
        <xdr:cNvSpPr/>
      </xdr:nvSpPr>
      <xdr:spPr bwMode="auto">
        <a:xfrm>
          <a:off x="7086600" y="411480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twoCellAnchor>
    <xdr:from>
      <xdr:col>8</xdr:col>
      <xdr:colOff>38100</xdr:colOff>
      <xdr:row>10</xdr:row>
      <xdr:rowOff>476250</xdr:rowOff>
    </xdr:from>
    <xdr:to>
      <xdr:col>8</xdr:col>
      <xdr:colOff>352425</xdr:colOff>
      <xdr:row>11</xdr:row>
      <xdr:rowOff>190501</xdr:rowOff>
    </xdr:to>
    <xdr:sp macro="" textlink="">
      <xdr:nvSpPr>
        <xdr:cNvPr id="12" name="8-Point Star 11"/>
        <xdr:cNvSpPr/>
      </xdr:nvSpPr>
      <xdr:spPr bwMode="auto">
        <a:xfrm>
          <a:off x="7086600" y="3848100"/>
          <a:ext cx="314325" cy="228601"/>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editAs="oneCell">
    <xdr:from>
      <xdr:col>7</xdr:col>
      <xdr:colOff>91378</xdr:colOff>
      <xdr:row>13</xdr:row>
      <xdr:rowOff>120797</xdr:rowOff>
    </xdr:from>
    <xdr:to>
      <xdr:col>10</xdr:col>
      <xdr:colOff>0</xdr:colOff>
      <xdr:row>18</xdr:row>
      <xdr:rowOff>35427</xdr:rowOff>
    </xdr:to>
    <xdr:pic>
      <xdr:nvPicPr>
        <xdr:cNvPr id="13" name="Picture 12"/>
        <xdr:cNvPicPr>
          <a:picLocks noChangeAspect="1"/>
        </xdr:cNvPicPr>
      </xdr:nvPicPr>
      <xdr:blipFill>
        <a:blip xmlns:r="http://schemas.openxmlformats.org/officeDocument/2006/relationships" r:embed="rId1" cstate="print"/>
        <a:stretch>
          <a:fillRect/>
        </a:stretch>
      </xdr:blipFill>
      <xdr:spPr>
        <a:xfrm>
          <a:off x="5815903" y="4426097"/>
          <a:ext cx="2928048" cy="20387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2</xdr:row>
      <xdr:rowOff>28575</xdr:rowOff>
    </xdr:from>
    <xdr:to>
      <xdr:col>2</xdr:col>
      <xdr:colOff>571500</xdr:colOff>
      <xdr:row>2</xdr:row>
      <xdr:rowOff>247650</xdr:rowOff>
    </xdr:to>
    <xdr:sp macro="" textlink="">
      <xdr:nvSpPr>
        <xdr:cNvPr id="4" name="8-Point Star 3"/>
        <xdr:cNvSpPr/>
      </xdr:nvSpPr>
      <xdr:spPr bwMode="auto">
        <a:xfrm>
          <a:off x="2600325" y="647700"/>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A</a:t>
          </a:r>
        </a:p>
      </xdr:txBody>
    </xdr:sp>
    <xdr:clientData/>
  </xdr:twoCellAnchor>
  <xdr:twoCellAnchor>
    <xdr:from>
      <xdr:col>5</xdr:col>
      <xdr:colOff>704850</xdr:colOff>
      <xdr:row>19</xdr:row>
      <xdr:rowOff>114300</xdr:rowOff>
    </xdr:from>
    <xdr:to>
      <xdr:col>7</xdr:col>
      <xdr:colOff>114300</xdr:colOff>
      <xdr:row>20</xdr:row>
      <xdr:rowOff>142875</xdr:rowOff>
    </xdr:to>
    <xdr:sp macro="" textlink="">
      <xdr:nvSpPr>
        <xdr:cNvPr id="6" name="8-Point Star 5"/>
        <xdr:cNvSpPr/>
      </xdr:nvSpPr>
      <xdr:spPr bwMode="auto">
        <a:xfrm>
          <a:off x="4514850" y="3686175"/>
          <a:ext cx="314325" cy="219075"/>
        </a:xfrm>
        <a:prstGeom prst="star8">
          <a:avLst/>
        </a:prstGeom>
        <a:solidFill>
          <a:srgbClr val="C0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chemeClr val="bg1"/>
              </a:solidFill>
            </a:rPr>
            <a:t>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L24"/>
  <sheetViews>
    <sheetView showGridLines="0" showRowColHeaders="0" zoomScaleNormal="100" workbookViewId="0">
      <selection activeCell="B1" sqref="B1:L1"/>
    </sheetView>
  </sheetViews>
  <sheetFormatPr defaultRowHeight="12.75"/>
  <cols>
    <col min="1" max="1" width="0.88671875" style="48" customWidth="1"/>
    <col min="2" max="12" width="9.5546875" style="48" customWidth="1"/>
    <col min="13" max="13" width="0.88671875" style="48" customWidth="1"/>
    <col min="14" max="16384" width="8.88671875" style="48"/>
  </cols>
  <sheetData>
    <row r="1" spans="2:12" ht="25.5" customHeight="1">
      <c r="B1" s="317" t="s">
        <v>30</v>
      </c>
      <c r="C1" s="317"/>
      <c r="D1" s="317"/>
      <c r="E1" s="317"/>
      <c r="F1" s="317"/>
      <c r="G1" s="317"/>
      <c r="H1" s="317"/>
      <c r="I1" s="317"/>
      <c r="J1" s="317"/>
      <c r="K1" s="317"/>
      <c r="L1" s="317"/>
    </row>
    <row r="2" spans="2:12" ht="18" customHeight="1">
      <c r="B2" s="318" t="s">
        <v>64</v>
      </c>
      <c r="C2" s="318"/>
      <c r="D2" s="318"/>
      <c r="E2" s="318"/>
      <c r="F2" s="318"/>
      <c r="G2" s="318"/>
      <c r="H2" s="318"/>
      <c r="I2" s="318"/>
      <c r="J2" s="318"/>
      <c r="K2" s="318"/>
      <c r="L2" s="318"/>
    </row>
    <row r="3" spans="2:12" ht="5.25" customHeight="1"/>
    <row r="4" spans="2:12" ht="76.5" customHeight="1">
      <c r="B4" s="315" t="s">
        <v>120</v>
      </c>
      <c r="C4" s="315"/>
      <c r="D4" s="315"/>
      <c r="E4" s="315"/>
      <c r="F4" s="315"/>
      <c r="G4" s="315"/>
      <c r="H4" s="315"/>
      <c r="I4" s="315"/>
      <c r="J4" s="315"/>
      <c r="K4" s="315"/>
      <c r="L4" s="315"/>
    </row>
    <row r="5" spans="2:12" ht="18.75" customHeight="1">
      <c r="B5" s="65" t="s">
        <v>145</v>
      </c>
    </row>
    <row r="6" spans="2:12" ht="6.75" customHeight="1"/>
    <row r="7" spans="2:12" ht="15">
      <c r="B7" s="66" t="s">
        <v>35</v>
      </c>
      <c r="C7" s="67"/>
      <c r="D7" s="67"/>
      <c r="E7" s="67"/>
      <c r="F7" s="67"/>
      <c r="G7" s="66" t="s">
        <v>33</v>
      </c>
    </row>
    <row r="8" spans="2:12" ht="15" customHeight="1">
      <c r="B8" s="48" t="s">
        <v>129</v>
      </c>
      <c r="G8" s="48" t="s">
        <v>37</v>
      </c>
    </row>
    <row r="9" spans="2:12" ht="15" customHeight="1">
      <c r="B9" s="48" t="s">
        <v>126</v>
      </c>
      <c r="G9" s="48" t="s">
        <v>38</v>
      </c>
    </row>
    <row r="10" spans="2:12" ht="15" hidden="1" customHeight="1">
      <c r="B10" s="48" t="s">
        <v>131</v>
      </c>
      <c r="G10" s="48" t="s">
        <v>43</v>
      </c>
    </row>
    <row r="11" spans="2:12" ht="15" hidden="1" customHeight="1">
      <c r="B11" s="48" t="s">
        <v>130</v>
      </c>
      <c r="G11" s="48" t="s">
        <v>43</v>
      </c>
    </row>
    <row r="12" spans="2:12" ht="15" hidden="1" customHeight="1">
      <c r="B12" s="48" t="s">
        <v>127</v>
      </c>
      <c r="G12" s="48" t="s">
        <v>44</v>
      </c>
    </row>
    <row r="13" spans="2:12" ht="15" customHeight="1">
      <c r="B13" s="48" t="s">
        <v>132</v>
      </c>
    </row>
    <row r="14" spans="2:12" ht="15" customHeight="1">
      <c r="B14" s="240" t="s">
        <v>128</v>
      </c>
      <c r="C14" s="240"/>
      <c r="D14" s="240"/>
      <c r="E14" s="240"/>
      <c r="F14" s="240"/>
      <c r="G14" s="240"/>
      <c r="H14" s="240"/>
      <c r="I14" s="240"/>
      <c r="J14" s="240"/>
      <c r="K14" s="240"/>
      <c r="L14" s="240"/>
    </row>
    <row r="15" spans="2:12" ht="12.75" customHeight="1">
      <c r="B15" s="240" t="s">
        <v>125</v>
      </c>
      <c r="C15" s="240"/>
      <c r="D15" s="240"/>
      <c r="E15" s="240"/>
      <c r="F15" s="240"/>
      <c r="G15" s="240"/>
      <c r="H15" s="240"/>
      <c r="I15" s="240"/>
      <c r="J15" s="240"/>
      <c r="K15" s="240"/>
      <c r="L15" s="240"/>
    </row>
    <row r="16" spans="2:12" ht="40.5" customHeight="1">
      <c r="B16" s="319" t="s">
        <v>97</v>
      </c>
      <c r="C16" s="319"/>
      <c r="D16" s="319"/>
      <c r="E16" s="319"/>
      <c r="F16" s="319"/>
      <c r="G16" s="319"/>
      <c r="H16" s="319"/>
      <c r="I16" s="319"/>
      <c r="J16" s="319"/>
      <c r="K16" s="319"/>
      <c r="L16" s="319"/>
    </row>
    <row r="17" spans="2:12" ht="40.5" customHeight="1">
      <c r="B17" s="219"/>
      <c r="C17" s="219"/>
      <c r="D17" s="219"/>
      <c r="E17" s="219"/>
      <c r="F17" s="219"/>
      <c r="G17" s="219"/>
      <c r="H17" s="219"/>
      <c r="I17" s="219"/>
      <c r="J17" s="219"/>
      <c r="K17" s="219"/>
      <c r="L17" s="219"/>
    </row>
    <row r="18" spans="2:12" ht="32.25" customHeight="1">
      <c r="B18" s="320" t="s">
        <v>144</v>
      </c>
      <c r="C18" s="321"/>
      <c r="D18" s="321"/>
      <c r="E18" s="321"/>
      <c r="F18" s="321"/>
      <c r="G18" s="321"/>
      <c r="H18" s="321"/>
      <c r="I18" s="321"/>
      <c r="J18" s="321"/>
      <c r="K18" s="321"/>
      <c r="L18" s="322"/>
    </row>
    <row r="19" spans="2:12" ht="66" customHeight="1">
      <c r="B19" s="316" t="s">
        <v>34</v>
      </c>
      <c r="C19" s="316"/>
      <c r="D19" s="316"/>
      <c r="E19" s="316"/>
      <c r="F19" s="316"/>
      <c r="G19" s="316"/>
      <c r="H19" s="316"/>
      <c r="I19" s="316"/>
      <c r="J19" s="316"/>
      <c r="K19" s="316"/>
      <c r="L19" s="316"/>
    </row>
    <row r="20" spans="2:12" ht="54" customHeight="1">
      <c r="B20" s="315" t="s">
        <v>118</v>
      </c>
      <c r="C20" s="315"/>
      <c r="D20" s="315"/>
      <c r="E20" s="315"/>
      <c r="F20" s="315"/>
      <c r="G20" s="315"/>
      <c r="H20" s="315"/>
      <c r="I20" s="315"/>
      <c r="J20" s="315"/>
      <c r="K20" s="315"/>
      <c r="L20" s="315"/>
    </row>
    <row r="21" spans="2:12" ht="15">
      <c r="B21" s="48" t="s">
        <v>39</v>
      </c>
      <c r="J21"/>
    </row>
    <row r="22" spans="2:12">
      <c r="B22" s="41" t="s">
        <v>36</v>
      </c>
      <c r="C22" s="42"/>
      <c r="D22" s="42"/>
      <c r="E22" s="42"/>
      <c r="F22" s="42"/>
      <c r="G22" s="42"/>
      <c r="H22" s="42"/>
    </row>
    <row r="23" spans="2:12" ht="15.75">
      <c r="B23" s="41" t="s">
        <v>40</v>
      </c>
      <c r="C23" s="43"/>
      <c r="D23" s="43"/>
      <c r="E23" s="43"/>
      <c r="F23" s="43"/>
      <c r="G23" s="43"/>
      <c r="H23" s="5"/>
    </row>
    <row r="24" spans="2:12">
      <c r="B24" s="44" t="s">
        <v>154</v>
      </c>
      <c r="C24" s="45"/>
      <c r="D24" s="45"/>
      <c r="E24" s="45"/>
      <c r="F24" s="45"/>
      <c r="G24" s="45"/>
      <c r="H24" s="46"/>
      <c r="L24" s="47" t="s">
        <v>153</v>
      </c>
    </row>
  </sheetData>
  <sheetProtection password="D977" sheet="1" objects="1" scenarios="1" selectLockedCells="1" selectUnlockedCells="1"/>
  <mergeCells count="7">
    <mergeCell ref="B20:L20"/>
    <mergeCell ref="B19:L19"/>
    <mergeCell ref="B1:L1"/>
    <mergeCell ref="B2:L2"/>
    <mergeCell ref="B4:L4"/>
    <mergeCell ref="B16:L16"/>
    <mergeCell ref="B18:L18"/>
  </mergeCells>
  <pageMargins left="0.5" right="0.5" top="0.7" bottom="0.5" header="0.3" footer="0.3"/>
  <pageSetup orientation="landscape" r:id="rId1"/>
  <legacyDrawing r:id="rId2"/>
  <oleObjects>
    <oleObject progId="MSPhotoEd.3" shapeId="15361" r:id="rId3"/>
  </oleObjects>
</worksheet>
</file>

<file path=xl/worksheets/sheet2.xml><?xml version="1.0" encoding="utf-8"?>
<worksheet xmlns="http://schemas.openxmlformats.org/spreadsheetml/2006/main" xmlns:r="http://schemas.openxmlformats.org/officeDocument/2006/relationships">
  <sheetPr>
    <tabColor rgb="FFC00000"/>
  </sheetPr>
  <dimension ref="A1:N37"/>
  <sheetViews>
    <sheetView showGridLines="0" showRowColHeaders="0" tabSelected="1" zoomScale="80" zoomScaleNormal="80" workbookViewId="0">
      <selection activeCell="A15" sqref="A15"/>
    </sheetView>
  </sheetViews>
  <sheetFormatPr defaultRowHeight="12.75"/>
  <cols>
    <col min="1" max="1" width="2.77734375" style="131" customWidth="1"/>
    <col min="2" max="2" width="24.44140625" style="131" customWidth="1"/>
    <col min="3" max="3" width="1.5546875" style="131" customWidth="1"/>
    <col min="4" max="4" width="9.77734375" style="131" customWidth="1"/>
    <col min="5" max="5" width="4.33203125" style="131" customWidth="1"/>
    <col min="6" max="6" width="6.109375" style="133" customWidth="1"/>
    <col min="7" max="7" width="4.21875" style="133" customWidth="1"/>
    <col min="8" max="8" width="9.77734375" style="131" customWidth="1"/>
    <col min="9" max="9" width="4.33203125" style="131" customWidth="1"/>
    <col min="10" max="10" width="8.88671875" style="131"/>
    <col min="11" max="11" width="1.21875" style="131" customWidth="1"/>
    <col min="12" max="12" width="9.77734375" style="131" customWidth="1"/>
    <col min="13" max="13" width="12.5546875" style="131" customWidth="1"/>
    <col min="14" max="14" width="3.109375" style="131" customWidth="1"/>
    <col min="15" max="16384" width="8.88671875" style="131"/>
  </cols>
  <sheetData>
    <row r="1" spans="1:13" ht="30">
      <c r="B1" s="333" t="s">
        <v>143</v>
      </c>
      <c r="C1" s="333"/>
      <c r="D1" s="333"/>
      <c r="E1" s="333"/>
      <c r="F1" s="333"/>
      <c r="G1" s="333"/>
      <c r="H1" s="333"/>
      <c r="I1" s="333"/>
      <c r="J1" s="333"/>
      <c r="K1" s="333"/>
      <c r="L1" s="333"/>
      <c r="M1" s="333"/>
    </row>
    <row r="2" spans="1:13" ht="21">
      <c r="B2" s="334" t="s">
        <v>85</v>
      </c>
      <c r="C2" s="334"/>
      <c r="D2" s="334"/>
      <c r="E2" s="334"/>
      <c r="F2" s="334"/>
      <c r="G2" s="334"/>
      <c r="H2" s="334"/>
      <c r="I2" s="334"/>
      <c r="J2" s="334"/>
      <c r="K2" s="334"/>
      <c r="L2" s="334"/>
      <c r="M2" s="334"/>
    </row>
    <row r="3" spans="1:13" ht="3.75" customHeight="1">
      <c r="C3" s="132"/>
      <c r="G3" s="134"/>
    </row>
    <row r="4" spans="1:13" ht="18.75">
      <c r="A4" s="132" t="s">
        <v>63</v>
      </c>
    </row>
    <row r="5" spans="1:13" s="135" customFormat="1" ht="31.5" customHeight="1">
      <c r="C5" s="136"/>
      <c r="D5" s="137" t="s">
        <v>112</v>
      </c>
      <c r="E5" s="137"/>
      <c r="F5" s="137" t="s">
        <v>114</v>
      </c>
      <c r="G5" s="137"/>
      <c r="H5" s="137" t="s">
        <v>113</v>
      </c>
      <c r="I5" s="138"/>
      <c r="J5" s="138"/>
      <c r="K5" s="138"/>
      <c r="L5" s="191" t="s">
        <v>115</v>
      </c>
      <c r="M5" s="138"/>
    </row>
    <row r="6" spans="1:13" s="135" customFormat="1" ht="12.75" customHeight="1">
      <c r="A6" s="139"/>
      <c r="B6" s="140" t="s">
        <v>102</v>
      </c>
      <c r="C6" s="136"/>
      <c r="D6" s="100">
        <v>0</v>
      </c>
      <c r="E6" s="142"/>
      <c r="F6" s="335"/>
      <c r="G6" s="336"/>
      <c r="H6" s="141">
        <f>D6</f>
        <v>0</v>
      </c>
      <c r="I6" s="138"/>
      <c r="J6" s="143" t="s">
        <v>56</v>
      </c>
      <c r="K6" s="138"/>
      <c r="L6" s="122" t="s">
        <v>152</v>
      </c>
      <c r="M6" s="138" t="s">
        <v>116</v>
      </c>
    </row>
    <row r="7" spans="1:13" ht="12.75" customHeight="1">
      <c r="A7" s="331" t="s">
        <v>96</v>
      </c>
      <c r="B7" s="144" t="s">
        <v>103</v>
      </c>
      <c r="C7" s="145"/>
      <c r="D7" s="119">
        <v>0</v>
      </c>
      <c r="E7" s="181">
        <f>D7/$D$19</f>
        <v>0</v>
      </c>
      <c r="F7" s="190" t="s">
        <v>65</v>
      </c>
      <c r="G7" s="147"/>
      <c r="H7" s="146">
        <f>D7</f>
        <v>0</v>
      </c>
      <c r="I7" s="181">
        <f>H7/$H$19</f>
        <v>0</v>
      </c>
      <c r="J7" s="143" t="s">
        <v>57</v>
      </c>
      <c r="K7" s="148"/>
      <c r="L7" s="123" t="s">
        <v>86</v>
      </c>
      <c r="M7" s="222" t="str">
        <f>IF($D$32=2,"In Business","Outside Business")</f>
        <v>Outside Business</v>
      </c>
    </row>
    <row r="8" spans="1:13">
      <c r="A8" s="332"/>
      <c r="B8" s="193" t="s">
        <v>0</v>
      </c>
      <c r="C8" s="145"/>
      <c r="D8" s="120">
        <v>50000</v>
      </c>
      <c r="E8" s="181">
        <f t="shared" ref="E8:E19" si="0">D8/$D$19</f>
        <v>6.6666666666666671E-3</v>
      </c>
      <c r="F8" s="220">
        <f>$D$28</f>
        <v>0.05</v>
      </c>
      <c r="G8" s="150"/>
      <c r="H8" s="149">
        <f t="shared" ref="H8:H16" si="1">D8*(1+F8)^$D$27</f>
        <v>50000</v>
      </c>
      <c r="I8" s="181">
        <f t="shared" ref="I8:I16" si="2">H8/$H$19</f>
        <v>6.6666666666666671E-3</v>
      </c>
      <c r="J8" s="151" t="s">
        <v>10</v>
      </c>
      <c r="K8" s="148"/>
      <c r="L8" s="123"/>
      <c r="M8" s="222" t="str">
        <f>IF($D$33&gt;=3,"Outside Business","")</f>
        <v/>
      </c>
    </row>
    <row r="9" spans="1:13">
      <c r="A9" s="332"/>
      <c r="B9" s="193" t="s">
        <v>8</v>
      </c>
      <c r="C9" s="145"/>
      <c r="D9" s="120">
        <v>600000</v>
      </c>
      <c r="E9" s="181">
        <f t="shared" si="0"/>
        <v>0.08</v>
      </c>
      <c r="F9" s="109">
        <f t="shared" ref="F9:F16" si="3">$D$28</f>
        <v>0.05</v>
      </c>
      <c r="G9" s="150"/>
      <c r="H9" s="149">
        <f t="shared" si="1"/>
        <v>600000</v>
      </c>
      <c r="I9" s="181">
        <f t="shared" si="2"/>
        <v>0.08</v>
      </c>
      <c r="J9" s="151" t="s">
        <v>11</v>
      </c>
      <c r="K9" s="148"/>
      <c r="L9" s="123"/>
      <c r="M9" s="222" t="str">
        <f>IF($D$33&gt;=4,"Outside Business","")</f>
        <v/>
      </c>
    </row>
    <row r="10" spans="1:13">
      <c r="A10" s="332"/>
      <c r="B10" s="193" t="s">
        <v>1</v>
      </c>
      <c r="C10" s="145"/>
      <c r="D10" s="120">
        <v>850000</v>
      </c>
      <c r="E10" s="181">
        <f t="shared" si="0"/>
        <v>0.11333333333333333</v>
      </c>
      <c r="F10" s="109">
        <f t="shared" si="3"/>
        <v>0.05</v>
      </c>
      <c r="G10" s="150"/>
      <c r="H10" s="149">
        <f t="shared" si="1"/>
        <v>850000</v>
      </c>
      <c r="I10" s="181">
        <f t="shared" si="2"/>
        <v>0.11333333333333333</v>
      </c>
      <c r="J10" s="151" t="s">
        <v>12</v>
      </c>
      <c r="K10" s="148"/>
      <c r="L10" s="124"/>
      <c r="M10" s="222" t="str">
        <f>IF($D$33&gt;=5,"Outside Business","")</f>
        <v/>
      </c>
    </row>
    <row r="11" spans="1:13">
      <c r="A11" s="332"/>
      <c r="B11" s="193" t="s">
        <v>117</v>
      </c>
      <c r="C11" s="145"/>
      <c r="D11" s="120">
        <v>1000000</v>
      </c>
      <c r="E11" s="181">
        <f t="shared" si="0"/>
        <v>0.13333333333333333</v>
      </c>
      <c r="F11" s="109">
        <f t="shared" si="3"/>
        <v>0.05</v>
      </c>
      <c r="G11" s="150"/>
      <c r="H11" s="149">
        <f t="shared" si="1"/>
        <v>1000000</v>
      </c>
      <c r="I11" s="181">
        <f t="shared" si="2"/>
        <v>0.13333333333333333</v>
      </c>
      <c r="J11" s="337" t="s">
        <v>58</v>
      </c>
      <c r="K11" s="337"/>
      <c r="L11" s="337"/>
      <c r="M11" s="337"/>
    </row>
    <row r="12" spans="1:13">
      <c r="A12" s="332"/>
      <c r="B12" s="193"/>
      <c r="C12" s="145"/>
      <c r="D12" s="120"/>
      <c r="E12" s="181">
        <f t="shared" si="0"/>
        <v>0</v>
      </c>
      <c r="F12" s="109">
        <f t="shared" si="3"/>
        <v>0.05</v>
      </c>
      <c r="G12" s="150"/>
      <c r="H12" s="149">
        <f t="shared" si="1"/>
        <v>0</v>
      </c>
      <c r="I12" s="181">
        <f t="shared" si="2"/>
        <v>0</v>
      </c>
      <c r="J12" s="337"/>
      <c r="K12" s="337"/>
      <c r="L12" s="337"/>
      <c r="M12" s="337"/>
    </row>
    <row r="13" spans="1:13" ht="12.75" customHeight="1">
      <c r="A13" s="332"/>
      <c r="B13" s="193"/>
      <c r="C13" s="145"/>
      <c r="D13" s="120"/>
      <c r="E13" s="181">
        <f t="shared" si="0"/>
        <v>0</v>
      </c>
      <c r="F13" s="109">
        <f t="shared" si="3"/>
        <v>0.05</v>
      </c>
      <c r="G13" s="150"/>
      <c r="H13" s="149">
        <f t="shared" si="1"/>
        <v>0</v>
      </c>
      <c r="I13" s="181">
        <f t="shared" si="2"/>
        <v>0</v>
      </c>
      <c r="J13" s="337"/>
      <c r="K13" s="337"/>
      <c r="L13" s="337"/>
      <c r="M13" s="337"/>
    </row>
    <row r="14" spans="1:13">
      <c r="A14" s="332"/>
      <c r="B14" s="193"/>
      <c r="C14" s="145"/>
      <c r="D14" s="120"/>
      <c r="E14" s="181">
        <f t="shared" si="0"/>
        <v>0</v>
      </c>
      <c r="F14" s="109">
        <f t="shared" si="3"/>
        <v>0.05</v>
      </c>
      <c r="G14" s="150"/>
      <c r="H14" s="149">
        <f t="shared" si="1"/>
        <v>0</v>
      </c>
      <c r="I14" s="181">
        <f t="shared" si="2"/>
        <v>0</v>
      </c>
      <c r="L14" s="152"/>
      <c r="M14" s="152"/>
    </row>
    <row r="15" spans="1:13" ht="14.25" customHeight="1">
      <c r="A15" s="179" t="b">
        <v>0</v>
      </c>
      <c r="B15" s="193"/>
      <c r="C15" s="145"/>
      <c r="D15" s="120"/>
      <c r="E15" s="181">
        <f t="shared" si="0"/>
        <v>0</v>
      </c>
      <c r="F15" s="109">
        <f t="shared" si="3"/>
        <v>0.05</v>
      </c>
      <c r="G15" s="150"/>
      <c r="H15" s="149">
        <f t="shared" si="1"/>
        <v>0</v>
      </c>
      <c r="I15" s="181">
        <f t="shared" si="2"/>
        <v>0</v>
      </c>
      <c r="L15" s="301" t="s">
        <v>141</v>
      </c>
      <c r="M15" s="152"/>
    </row>
    <row r="16" spans="1:13" ht="14.25" customHeight="1">
      <c r="A16" s="180" t="b">
        <v>1</v>
      </c>
      <c r="B16" s="194" t="s">
        <v>81</v>
      </c>
      <c r="C16" s="153"/>
      <c r="D16" s="121">
        <v>5000000</v>
      </c>
      <c r="E16" s="181">
        <f t="shared" si="0"/>
        <v>0.66666666666666663</v>
      </c>
      <c r="F16" s="221">
        <f t="shared" si="3"/>
        <v>0.05</v>
      </c>
      <c r="G16" s="150"/>
      <c r="H16" s="154">
        <f t="shared" si="1"/>
        <v>5000000</v>
      </c>
      <c r="I16" s="181">
        <f t="shared" si="2"/>
        <v>0.66666666666666663</v>
      </c>
      <c r="L16" s="301" t="s">
        <v>108</v>
      </c>
    </row>
    <row r="17" spans="1:14" ht="3.75" customHeight="1">
      <c r="A17" s="155"/>
      <c r="B17" s="156"/>
      <c r="C17" s="157"/>
      <c r="D17" s="158"/>
      <c r="E17" s="159"/>
      <c r="F17" s="160"/>
      <c r="G17" s="150"/>
      <c r="H17" s="161"/>
      <c r="I17" s="184"/>
    </row>
    <row r="18" spans="1:14" ht="9.75" customHeight="1">
      <c r="A18" s="162"/>
      <c r="B18" s="156"/>
      <c r="C18" s="156"/>
      <c r="D18" s="163"/>
      <c r="E18" s="164"/>
      <c r="F18" s="115"/>
      <c r="G18" s="165"/>
      <c r="H18" s="103"/>
      <c r="I18" s="185"/>
    </row>
    <row r="19" spans="1:14" ht="17.25" customHeight="1">
      <c r="B19" s="166" t="s">
        <v>61</v>
      </c>
      <c r="C19" s="167"/>
      <c r="D19" s="168">
        <f>SUM(D7:D16)</f>
        <v>7500000</v>
      </c>
      <c r="E19" s="182">
        <f t="shared" si="0"/>
        <v>1</v>
      </c>
      <c r="F19" s="169"/>
      <c r="G19" s="169"/>
      <c r="H19" s="168">
        <f>SUM(H7:H16)</f>
        <v>7500000</v>
      </c>
      <c r="I19" s="186">
        <f>H19/$H$19</f>
        <v>1</v>
      </c>
    </row>
    <row r="20" spans="1:14" ht="15.75" customHeight="1">
      <c r="B20" s="170" t="s">
        <v>60</v>
      </c>
      <c r="C20" s="171"/>
      <c r="D20" s="172">
        <f>IF($A$15=TRUE,D15,0)+IF($A$16=TRUE,D16,0)</f>
        <v>5000000</v>
      </c>
      <c r="E20" s="183">
        <f>D20/D19</f>
        <v>0.66666666666666663</v>
      </c>
      <c r="F20" s="173"/>
      <c r="G20" s="173"/>
      <c r="H20" s="172">
        <f>IF($A$15=TRUE,H15,0)+IF($A$16=TRUE,H16,0)</f>
        <v>5000000</v>
      </c>
      <c r="I20" s="187">
        <f>H20/H19</f>
        <v>0.66666666666666663</v>
      </c>
    </row>
    <row r="21" spans="1:14" ht="21" customHeight="1">
      <c r="A21" s="188" t="s">
        <v>50</v>
      </c>
      <c r="B21" s="192" t="s">
        <v>62</v>
      </c>
    </row>
    <row r="22" spans="1:14" ht="13.5" customHeight="1"/>
    <row r="23" spans="1:14" ht="18.75">
      <c r="A23" s="296" t="s">
        <v>54</v>
      </c>
      <c r="C23" s="132"/>
      <c r="H23" s="296" t="s">
        <v>88</v>
      </c>
    </row>
    <row r="24" spans="1:14" ht="16.5" customHeight="1">
      <c r="A24" s="325" t="s">
        <v>106</v>
      </c>
      <c r="B24" s="325"/>
      <c r="D24" s="297">
        <v>60</v>
      </c>
      <c r="H24" s="326" t="s">
        <v>89</v>
      </c>
      <c r="I24" s="326"/>
      <c r="J24" s="326"/>
      <c r="K24" s="326"/>
      <c r="L24" s="327"/>
      <c r="M24" s="223" t="b">
        <v>0</v>
      </c>
    </row>
    <row r="25" spans="1:14" ht="16.5" customHeight="1">
      <c r="A25" s="325" t="s">
        <v>107</v>
      </c>
      <c r="B25" s="325"/>
      <c r="D25" s="297">
        <v>60</v>
      </c>
      <c r="G25" s="85"/>
      <c r="H25" s="326" t="s">
        <v>90</v>
      </c>
      <c r="I25" s="326"/>
      <c r="J25" s="326"/>
      <c r="K25" s="326"/>
      <c r="L25" s="327"/>
      <c r="M25" s="223" t="b">
        <v>0</v>
      </c>
    </row>
    <row r="26" spans="1:14" ht="16.5" customHeight="1">
      <c r="A26" s="325" t="s">
        <v>21</v>
      </c>
      <c r="B26" s="325"/>
      <c r="D26" s="223" t="b">
        <v>1</v>
      </c>
      <c r="F26" s="174"/>
      <c r="G26" s="85"/>
      <c r="H26" s="326" t="s">
        <v>91</v>
      </c>
      <c r="I26" s="326"/>
      <c r="J26" s="326"/>
      <c r="K26" s="326"/>
      <c r="L26" s="327"/>
      <c r="M26" s="223" t="b">
        <v>0</v>
      </c>
    </row>
    <row r="27" spans="1:14" ht="16.5" customHeight="1">
      <c r="A27" s="325" t="s">
        <v>134</v>
      </c>
      <c r="B27" s="325"/>
      <c r="D27" s="110">
        <v>0</v>
      </c>
      <c r="E27" s="86"/>
      <c r="F27" s="85"/>
      <c r="G27" s="88"/>
      <c r="H27" s="328" t="s">
        <v>105</v>
      </c>
      <c r="I27" s="328"/>
      <c r="J27" s="328"/>
      <c r="K27" s="328"/>
      <c r="L27" s="329"/>
      <c r="M27" s="223" t="b">
        <v>0</v>
      </c>
    </row>
    <row r="28" spans="1:14" ht="16.5" customHeight="1">
      <c r="A28" s="325" t="s">
        <v>133</v>
      </c>
      <c r="B28" s="325"/>
      <c r="D28" s="298">
        <v>0.05</v>
      </c>
      <c r="G28" s="88"/>
      <c r="H28" s="325" t="s">
        <v>55</v>
      </c>
      <c r="I28" s="325"/>
      <c r="J28" s="325"/>
      <c r="K28" s="325"/>
      <c r="L28" s="330"/>
      <c r="M28" s="297">
        <v>2012</v>
      </c>
    </row>
    <row r="29" spans="1:14" ht="16.5" customHeight="1">
      <c r="A29" s="326" t="s">
        <v>110</v>
      </c>
      <c r="B29" s="326"/>
      <c r="C29" s="86"/>
      <c r="D29" s="299">
        <v>3500000</v>
      </c>
      <c r="G29" s="88"/>
      <c r="N29" s="87"/>
    </row>
    <row r="30" spans="1:14" ht="16.5" customHeight="1">
      <c r="A30" s="326" t="s">
        <v>109</v>
      </c>
      <c r="B30" s="326"/>
      <c r="C30" s="86"/>
      <c r="D30" s="300">
        <v>0.03</v>
      </c>
      <c r="E30" s="323" t="str">
        <f>"  "&amp;DOLLAR(Tables!$A$10,0)&amp;" Projected Applicable Exclusion in "&amp;D27&amp;" Years ("&amp;M28+D27&amp;")."</f>
        <v xml:space="preserve">  $3,500,000 Projected Applicable Exclusion in 0 Years (2012).</v>
      </c>
      <c r="F30" s="324"/>
      <c r="G30" s="324"/>
      <c r="H30" s="324"/>
      <c r="I30" s="324"/>
      <c r="J30" s="324"/>
      <c r="K30" s="324"/>
      <c r="L30" s="324"/>
      <c r="M30" s="324"/>
      <c r="N30" s="86"/>
    </row>
    <row r="31" spans="1:14" ht="16.5" customHeight="1">
      <c r="A31" s="326" t="s">
        <v>111</v>
      </c>
      <c r="B31" s="326"/>
      <c r="C31" s="86"/>
      <c r="D31" s="300">
        <v>0.45</v>
      </c>
      <c r="K31" s="87"/>
    </row>
    <row r="32" spans="1:14" ht="16.5" customHeight="1">
      <c r="A32" s="326" t="s">
        <v>13</v>
      </c>
      <c r="B32" s="326"/>
      <c r="C32" s="86"/>
      <c r="D32" s="297">
        <v>1</v>
      </c>
      <c r="E32" s="291" t="s">
        <v>7</v>
      </c>
      <c r="F32" s="175"/>
      <c r="J32" s="89"/>
      <c r="K32" s="87"/>
      <c r="L32" s="176"/>
    </row>
    <row r="33" spans="1:13" ht="16.5" customHeight="1">
      <c r="A33" s="326" t="s">
        <v>16</v>
      </c>
      <c r="B33" s="326"/>
      <c r="C33" s="86"/>
      <c r="D33" s="297">
        <v>2</v>
      </c>
      <c r="E33" s="291" t="str">
        <f>"(Max of "&amp;3+D32&amp;")"</f>
        <v>(Max of 4)</v>
      </c>
      <c r="F33" s="175"/>
      <c r="G33" s="189" t="str">
        <f>IF($D$33&gt;3+$D$32,"ERROR, Surpassed Max # of Chidren",IF($D$33&lt;2,"ERROR, No Children outside business",""))</f>
        <v/>
      </c>
      <c r="J33" s="89"/>
      <c r="K33" s="87"/>
      <c r="L33" s="176"/>
    </row>
    <row r="34" spans="1:13">
      <c r="K34" s="86"/>
    </row>
    <row r="35" spans="1:13" ht="12.75" customHeight="1">
      <c r="J35" s="177"/>
      <c r="K35" s="177"/>
      <c r="L35" s="177"/>
      <c r="M35" s="177"/>
    </row>
    <row r="36" spans="1:13">
      <c r="J36" s="177"/>
      <c r="K36" s="177"/>
      <c r="L36" s="177"/>
      <c r="M36" s="177"/>
    </row>
    <row r="37" spans="1:13">
      <c r="J37" s="177"/>
      <c r="K37" s="177"/>
      <c r="L37" s="178"/>
      <c r="M37" s="178"/>
    </row>
  </sheetData>
  <sheetProtection password="D977" sheet="1" objects="1" scenarios="1" selectLockedCells="1"/>
  <mergeCells count="21">
    <mergeCell ref="A33:B33"/>
    <mergeCell ref="A28:B28"/>
    <mergeCell ref="A29:B29"/>
    <mergeCell ref="A30:B30"/>
    <mergeCell ref="A31:B31"/>
    <mergeCell ref="A32:B32"/>
    <mergeCell ref="A7:A14"/>
    <mergeCell ref="B1:M1"/>
    <mergeCell ref="B2:M2"/>
    <mergeCell ref="F6:G6"/>
    <mergeCell ref="J11:M13"/>
    <mergeCell ref="E30:M30"/>
    <mergeCell ref="A24:B24"/>
    <mergeCell ref="A25:B25"/>
    <mergeCell ref="A26:B26"/>
    <mergeCell ref="A27:B27"/>
    <mergeCell ref="H24:L24"/>
    <mergeCell ref="H25:L25"/>
    <mergeCell ref="H26:L26"/>
    <mergeCell ref="H27:L27"/>
    <mergeCell ref="H28:L28"/>
  </mergeCells>
  <pageMargins left="0.7" right="0.7" top="0.75" bottom="0.75" header="0.3" footer="0.3"/>
  <pageSetup orientation="landscape" r:id="rId1"/>
  <ignoredErrors>
    <ignoredError sqref="E19 I19 H7:I16 E7:E14 H6 E15:E16 F8:F16" unlockedFormula="1"/>
    <ignoredError sqref="D19" formulaRange="1"/>
  </ignoredErrors>
  <drawing r:id="rId2"/>
  <legacyDrawing r:id="rId3"/>
</worksheet>
</file>

<file path=xl/worksheets/sheet3.xml><?xml version="1.0" encoding="utf-8"?>
<worksheet xmlns="http://schemas.openxmlformats.org/spreadsheetml/2006/main" xmlns:r="http://schemas.openxmlformats.org/officeDocument/2006/relationships">
  <dimension ref="A1:IY28"/>
  <sheetViews>
    <sheetView showGridLines="0" showRowColHeaders="0" zoomScaleNormal="100" workbookViewId="0">
      <selection activeCell="C4" sqref="C4"/>
    </sheetView>
  </sheetViews>
  <sheetFormatPr defaultColWidth="10.6640625" defaultRowHeight="15.75"/>
  <cols>
    <col min="1" max="1" width="2.109375" style="5" customWidth="1"/>
    <col min="2" max="2" width="24.109375" style="4" customWidth="1"/>
    <col min="3" max="3" width="9.77734375" style="4" customWidth="1"/>
    <col min="4" max="4" width="3.77734375" style="4" customWidth="1"/>
    <col min="5" max="5" width="2.77734375" style="4" customWidth="1"/>
    <col min="6" max="6" width="9.88671875" style="6" customWidth="1"/>
    <col min="7" max="7" width="0.6640625" style="4" customWidth="1"/>
    <col min="8" max="9" width="9.77734375" style="4" customWidth="1"/>
    <col min="10" max="10" width="0.33203125" style="4" customWidth="1"/>
    <col min="11" max="13" width="9.77734375" style="4" customWidth="1"/>
    <col min="14" max="14" width="1.6640625" style="4" customWidth="1"/>
    <col min="15" max="259" width="10.6640625" style="4"/>
    <col min="260" max="16384" width="10.6640625" style="5"/>
  </cols>
  <sheetData>
    <row r="1" spans="1:14" ht="30" customHeight="1">
      <c r="A1" s="317" t="s">
        <v>48</v>
      </c>
      <c r="B1" s="317"/>
      <c r="C1" s="317"/>
      <c r="D1" s="317"/>
      <c r="E1" s="317"/>
      <c r="F1" s="317"/>
      <c r="G1" s="317"/>
      <c r="H1" s="317"/>
      <c r="I1" s="317"/>
      <c r="J1" s="317"/>
      <c r="K1" s="317"/>
      <c r="L1" s="317"/>
      <c r="M1" s="317"/>
      <c r="N1" s="2"/>
    </row>
    <row r="2" spans="1:14" ht="22.5" customHeight="1">
      <c r="A2" s="342" t="s">
        <v>146</v>
      </c>
      <c r="B2" s="342"/>
      <c r="C2" s="342"/>
      <c r="D2" s="342"/>
      <c r="E2" s="342"/>
      <c r="F2" s="342"/>
      <c r="G2" s="342"/>
      <c r="H2" s="342"/>
      <c r="I2" s="342"/>
      <c r="J2" s="342"/>
      <c r="K2" s="342"/>
      <c r="L2" s="342"/>
      <c r="M2" s="342"/>
      <c r="N2" s="2"/>
    </row>
    <row r="3" spans="1:14" ht="28.5" customHeight="1">
      <c r="A3" s="346" t="str">
        <f>IF(Input!$D$26=TRUE,"Ages ","Age ")&amp;Input!$D$24+Input!$D$27&amp;"/"&amp;IF(Input!$D$26=TRUE,Input!$D$25+Input!$D$27,"")&amp;"    Year: "&amp;Input!$M$28+Input!$D$27</f>
        <v>Ages 60/60    Year: 2012</v>
      </c>
      <c r="B3" s="346"/>
      <c r="C3" s="346"/>
      <c r="D3" s="346"/>
      <c r="E3" s="346"/>
      <c r="F3" s="346"/>
      <c r="G3" s="346"/>
      <c r="H3" s="346"/>
      <c r="I3" s="346"/>
      <c r="J3" s="346"/>
      <c r="K3" s="346"/>
      <c r="L3" s="346"/>
      <c r="M3" s="346"/>
      <c r="N3" s="2"/>
    </row>
    <row r="4" spans="1:14" ht="19.5" customHeight="1">
      <c r="B4" s="81" t="s">
        <v>101</v>
      </c>
      <c r="C4" s="90">
        <v>0</v>
      </c>
      <c r="D4" s="93" t="b">
        <v>0</v>
      </c>
      <c r="E4" s="82" t="s">
        <v>99</v>
      </c>
      <c r="H4" s="343" t="str">
        <f>IF(Input!D$32&gt;1,"Children In the Business","Child In the Business")</f>
        <v>Child In the Business</v>
      </c>
      <c r="I4" s="344"/>
      <c r="J4" s="7"/>
      <c r="K4" s="343" t="str">
        <f>IF(Input!$D$33-Input!$D$32&gt;1,"Children Outside the Business","Child Outside the Business")</f>
        <v>Child Outside the Business</v>
      </c>
      <c r="L4" s="345"/>
      <c r="M4" s="344"/>
      <c r="N4" s="7"/>
    </row>
    <row r="5" spans="1:14" ht="12" customHeight="1">
      <c r="B5" s="95"/>
      <c r="D5" s="130" t="b">
        <v>0</v>
      </c>
      <c r="E5" s="129" t="s">
        <v>100</v>
      </c>
      <c r="H5" s="8"/>
      <c r="I5" s="9"/>
      <c r="J5" s="7"/>
      <c r="K5" s="8"/>
      <c r="L5" s="9"/>
      <c r="M5" s="9"/>
      <c r="N5" s="7"/>
    </row>
    <row r="6" spans="1:14" ht="20.25" customHeight="1">
      <c r="A6" s="98"/>
      <c r="B6" s="82"/>
      <c r="C6" s="311" t="str">
        <f>IF(Input!$D$26=TRUE,"Parent(s)","Parent")</f>
        <v>Parent(s)</v>
      </c>
      <c r="D6" s="195" t="s">
        <v>83</v>
      </c>
      <c r="E6" s="126" t="s">
        <v>27</v>
      </c>
      <c r="F6" s="127" t="s">
        <v>6</v>
      </c>
      <c r="G6" s="10"/>
      <c r="H6" s="310" t="str">
        <f>Input!$L$6</f>
        <v>Sarah</v>
      </c>
      <c r="I6" s="310" t="str">
        <f>IF(Input!$D$32&gt;1,Input!$L$7,"")</f>
        <v/>
      </c>
      <c r="J6" s="11"/>
      <c r="K6" s="310" t="str">
        <f>IF(Input!$D$33-Input!$D$32&gt;=1,IF(Input!$D$32=2,Input!$L$8,Input!$L$7))</f>
        <v>Sam</v>
      </c>
      <c r="L6" s="310" t="str">
        <f>IF(Input!$D$33-Input!$D$32&gt;=2,IF(Input!$D$32=2,Input!$L$9,Input!$L$8),"")</f>
        <v/>
      </c>
      <c r="M6" s="310" t="str">
        <f>IF(Input!$D$33-Input!$D$32&gt;=3,IF(Input!$D$32=2,Input!L10,Input!L9),"")</f>
        <v/>
      </c>
      <c r="N6" s="7"/>
    </row>
    <row r="7" spans="1:14" ht="6" customHeight="1">
      <c r="C7" s="86"/>
      <c r="D7" s="86"/>
      <c r="F7" s="12"/>
      <c r="H7" s="9"/>
      <c r="I7" s="9"/>
      <c r="K7" s="9"/>
      <c r="L7" s="9"/>
      <c r="M7" s="9"/>
    </row>
    <row r="8" spans="1:14" ht="13.5" customHeight="1">
      <c r="B8" s="13" t="s">
        <v>47</v>
      </c>
      <c r="C8" s="91">
        <f>IF(D4=TRUE,C4,0)+Input!$H$6+IF($D$5=TRUE,Input!$H$7,0)</f>
        <v>0</v>
      </c>
      <c r="D8" s="91"/>
      <c r="E8" s="14" t="b">
        <v>0</v>
      </c>
      <c r="F8" s="51">
        <f ca="1">IF(E8=TRUE,0,IF(C8&gt;$C$23,$C$23,C8))</f>
        <v>0</v>
      </c>
      <c r="G8" s="15"/>
      <c r="H8" s="15" t="str">
        <f>IF(Input!$M$24=TRUE,($C8-$F8)/Input!$D$33,"")</f>
        <v/>
      </c>
      <c r="I8" s="15" t="str">
        <f>IF(Input!$D$32=1,"",IF(Input!$M$24=TRUE,($C8-$F8)/Input!$D$33,""))</f>
        <v/>
      </c>
      <c r="J8" s="15"/>
      <c r="K8" s="15">
        <f ca="1">IF(Input!$M$24=TRUE,($C8-$F8)/Input!$D$33,(($C8-$F8)/(Input!$D$33-Input!$D$32)))</f>
        <v>0</v>
      </c>
      <c r="L8" s="15" t="str">
        <f>IF(L$6="","",IF(Input!$M$24=TRUE,($C8-$F8)/Input!$D$33,(($C8-$F8)/(Input!$D$33-Input!$D$32))))</f>
        <v/>
      </c>
      <c r="M8" s="16" t="str">
        <f>IF(M$6="","",IF(Input!$M$24=TRUE,($C8-$F8)/Input!$D$33,(($C8-$F8)/(Input!$D$33-Input!$D$32))))</f>
        <v/>
      </c>
    </row>
    <row r="9" spans="1:14" ht="6" customHeight="1">
      <c r="B9" s="17"/>
      <c r="C9" s="92"/>
      <c r="D9" s="92"/>
      <c r="E9" s="18"/>
      <c r="F9" s="52"/>
      <c r="G9" s="19"/>
      <c r="H9" s="19"/>
      <c r="I9" s="19"/>
      <c r="J9" s="19"/>
      <c r="K9" s="19"/>
      <c r="L9" s="19"/>
      <c r="M9" s="19"/>
    </row>
    <row r="10" spans="1:14" ht="17.25" customHeight="1">
      <c r="A10" s="338" t="s">
        <v>32</v>
      </c>
      <c r="B10" s="117" t="str">
        <f>Input!B7</f>
        <v>Existing Life Insurance in Estate</v>
      </c>
      <c r="C10" s="102">
        <f>IF($D$5=TRUE,0,Input!$H$7)</f>
        <v>0</v>
      </c>
      <c r="D10" s="114"/>
      <c r="E10" s="20" t="b">
        <v>0</v>
      </c>
      <c r="F10" s="53">
        <f ca="1">IF(E10=TRUE, 0,IF($C$23-SUM($F$8:$F9)&gt;0,IF($C$23-SUM($F$8:$F9)&gt;C10,C10,$C$23-SUM($F$8:$F9)),0))</f>
        <v>0</v>
      </c>
      <c r="G10" s="21"/>
      <c r="H10" s="21" t="str">
        <f>IF(Input!$M$25=TRUE,($C10-$F10)/Input!$D$33,"")</f>
        <v/>
      </c>
      <c r="I10" s="21" t="str">
        <f>IF(Input!$D$32=1,"",IF(Input!$M$25=TRUE,($C10-$F10)/Input!$D$33,""))</f>
        <v/>
      </c>
      <c r="J10" s="21"/>
      <c r="K10" s="21">
        <f ca="1">IF(Input!$M$25=TRUE,($C10-$F10)/Input!$D$33,(($C10-$F10)/(Input!$D$33-Input!$D$32)))</f>
        <v>0</v>
      </c>
      <c r="L10" s="21" t="str">
        <f>IF(L$6="","",IF(Input!$M$25=TRUE,($C10-$F10)/Input!$D$33,(($C10-$F10)/(Input!$D$33-Input!$D$32))))</f>
        <v/>
      </c>
      <c r="M10" s="22" t="str">
        <f>IF(M$6="","",IF(Input!$M$25=TRUE,($C10-$F10)/Input!$D$33,(($C10-$F10)/(Input!$D$33-Input!$D$32))))</f>
        <v/>
      </c>
    </row>
    <row r="11" spans="1:14" ht="13.5" customHeight="1">
      <c r="A11" s="339"/>
      <c r="B11" s="101" t="str">
        <f>IF(Input!B8="","",Input!B8)</f>
        <v>Cash Equivalents</v>
      </c>
      <c r="C11" s="103">
        <f>Input!H8</f>
        <v>50000</v>
      </c>
      <c r="D11" s="115">
        <f>Input!F8</f>
        <v>0.05</v>
      </c>
      <c r="E11" s="23" t="b">
        <v>0</v>
      </c>
      <c r="F11" s="54">
        <f ca="1">IF(E11=TRUE, 0,IF($C$23-SUM($F$8:$F10)&gt;0,IF($C$23-SUM($F$8:$F10)&gt;C11,C11,$C$23-SUM($F$8:$F10)),0))</f>
        <v>0</v>
      </c>
      <c r="G11" s="24"/>
      <c r="H11" s="24" t="str">
        <f>IF(Input!$M$26=TRUE,($C11-$F11)/Input!$D$33,"")</f>
        <v/>
      </c>
      <c r="I11" s="24" t="str">
        <f>IF(Input!$D$32=1,"",IF(Input!$M$26=TRUE,($C11-$F11)/Input!$D$33,""))</f>
        <v/>
      </c>
      <c r="J11" s="24"/>
      <c r="K11" s="24">
        <f ca="1">IF(Input!$M$26=TRUE,($C11-$F11)/Input!$D$33,(($C11-$F11)/(Input!$D$33-Input!$D$32)))</f>
        <v>50000</v>
      </c>
      <c r="L11" s="24" t="str">
        <f>IF(L$6="","",IF(Input!$M$26=TRUE,($C11-$F11)/Input!$D$33,(($C11-$F11)/(Input!$D$33-Input!$D$32))))</f>
        <v/>
      </c>
      <c r="M11" s="25" t="str">
        <f>IF(M$6="","",IF(Input!$M$26=TRUE,($C11-$F11)/Input!$D$33,(($C11-$F11)/(Input!$D$33-Input!$D$32))))</f>
        <v/>
      </c>
    </row>
    <row r="12" spans="1:14" ht="13.5" customHeight="1">
      <c r="A12" s="339"/>
      <c r="B12" s="101" t="str">
        <f>IF(Input!B9="","",Input!B9)</f>
        <v>NQ Investments</v>
      </c>
      <c r="C12" s="103">
        <f>Input!H9</f>
        <v>600000</v>
      </c>
      <c r="D12" s="115">
        <f>Input!F9</f>
        <v>0.05</v>
      </c>
      <c r="E12" s="23" t="b">
        <v>0</v>
      </c>
      <c r="F12" s="54">
        <f ca="1">IF(E12=TRUE, 0,IF($C$23-SUM($F$8:$F11)&gt;0,IF($C$23-SUM($F$8:$F11)&gt;C12,C12,$C$23-SUM($F$8:$F11)),0))</f>
        <v>0</v>
      </c>
      <c r="G12" s="24"/>
      <c r="H12" s="24" t="str">
        <f>IF(Input!$M$26=TRUE,($C12-$F12)/Input!$D$33,"")</f>
        <v/>
      </c>
      <c r="I12" s="24" t="str">
        <f>IF(Input!$D$32=1,"",IF(Input!$M$26=TRUE,($C12-$F12)/Input!$D$33,""))</f>
        <v/>
      </c>
      <c r="J12" s="24"/>
      <c r="K12" s="24">
        <f ca="1">IF(Input!$M$26=TRUE,($C12-$F12)/Input!$D$33,(($C12-$F12)/(Input!$D$33-Input!$D$32)))</f>
        <v>600000</v>
      </c>
      <c r="L12" s="24" t="str">
        <f>IF(L$6="","",IF(Input!$M$26=TRUE,($C12-$F12)/Input!$D$33,(($C12-$F12)/(Input!$D$33-Input!$D$32))))</f>
        <v/>
      </c>
      <c r="M12" s="25" t="str">
        <f>IF(M$6="","",IF(Input!$M$26=TRUE,($C12-$F12)/Input!$D$33,(($C12-$F12)/(Input!$D$33-Input!$D$32))))</f>
        <v/>
      </c>
    </row>
    <row r="13" spans="1:14" ht="13.5" customHeight="1">
      <c r="A13" s="339"/>
      <c r="B13" s="101" t="str">
        <f>IF(Input!B10="","",Input!B10)</f>
        <v>Residence</v>
      </c>
      <c r="C13" s="103">
        <f>Input!H10</f>
        <v>850000</v>
      </c>
      <c r="D13" s="115">
        <f>Input!F10</f>
        <v>0.05</v>
      </c>
      <c r="E13" s="23" t="b">
        <v>0</v>
      </c>
      <c r="F13" s="54">
        <f ca="1">IF(E13=TRUE, 0,IF($C$23-SUM($F$8:$F12)&gt;0,IF($C$23-SUM($F$8:$F12)&gt;C13,C13,$C$23-SUM($F$8:$F12)),0))</f>
        <v>0</v>
      </c>
      <c r="G13" s="24"/>
      <c r="H13" s="24" t="str">
        <f>IF(Input!$M$26=TRUE,($C13-$F13)/Input!$D$33,"")</f>
        <v/>
      </c>
      <c r="I13" s="24" t="str">
        <f>IF(Input!$D$32=1,"",IF(Input!$M$26=TRUE,($C13-$F13)/Input!$D$33,""))</f>
        <v/>
      </c>
      <c r="J13" s="24"/>
      <c r="K13" s="24">
        <f ca="1">IF(Input!$M$26=TRUE,($C13-$F13)/Input!$D$33,(($C13-$F13)/(Input!$D$33-Input!$D$32)))</f>
        <v>850000</v>
      </c>
      <c r="L13" s="24" t="str">
        <f>IF(L$6="","",IF(Input!$M$26=TRUE,($C13-$F13)/Input!$D$33,(($C13-$F13)/(Input!$D$33-Input!$D$32))))</f>
        <v/>
      </c>
      <c r="M13" s="25" t="str">
        <f>IF(M$6="","",IF(Input!$M$26=TRUE,($C13-$F13)/Input!$D$33,(($C13-$F13)/(Input!$D$33-Input!$D$32))))</f>
        <v/>
      </c>
    </row>
    <row r="14" spans="1:14" ht="13.5" customHeight="1">
      <c r="A14" s="339"/>
      <c r="B14" s="101" t="str">
        <f>IF(Input!B11="","",Input!B11)</f>
        <v>Rental Real Estate</v>
      </c>
      <c r="C14" s="103">
        <f>Input!H11</f>
        <v>1000000</v>
      </c>
      <c r="D14" s="115">
        <f>Input!F11</f>
        <v>0.05</v>
      </c>
      <c r="E14" s="23" t="b">
        <v>0</v>
      </c>
      <c r="F14" s="54">
        <f ca="1">IF(E14=TRUE, 0,IF($C$23-SUM($F$8:$F13)&gt;0,IF($C$23-SUM($F$8:$F13)&gt;C14,C14,$C$23-SUM($F$8:$F13)),0))</f>
        <v>0</v>
      </c>
      <c r="G14" s="24"/>
      <c r="H14" s="24" t="str">
        <f>IF(Input!$M$26=TRUE,($C14-$F14)/Input!$D$33,"")</f>
        <v/>
      </c>
      <c r="I14" s="24" t="str">
        <f>IF(Input!$D$32=1,"",IF(Input!$M$26=TRUE,($C14-$F14)/Input!$D$33,""))</f>
        <v/>
      </c>
      <c r="J14" s="24"/>
      <c r="K14" s="24">
        <f ca="1">IF(Input!$M$26=TRUE,($C14-$F14)/Input!$D$33,(($C14-$F14)/(Input!$D$33-Input!$D$32)))</f>
        <v>1000000</v>
      </c>
      <c r="L14" s="24" t="str">
        <f>IF(L$6="","",IF(Input!$M$26=TRUE,($C14-$F14)/Input!$D$33,(($C14-$F14)/(Input!$D$33-Input!$D$32))))</f>
        <v/>
      </c>
      <c r="M14" s="25" t="str">
        <f>IF(M$6="","",IF(Input!$M$26=TRUE,($C14-$F14)/Input!$D$33,(($C14-$F14)/(Input!$D$33-Input!$D$32))))</f>
        <v/>
      </c>
    </row>
    <row r="15" spans="1:14" ht="13.5" customHeight="1">
      <c r="A15" s="339"/>
      <c r="B15" s="101" t="str">
        <f>IF(Input!B12="","",Input!B12)</f>
        <v/>
      </c>
      <c r="C15" s="103">
        <f>Input!H12</f>
        <v>0</v>
      </c>
      <c r="D15" s="115">
        <f>Input!F12</f>
        <v>0.05</v>
      </c>
      <c r="E15" s="23" t="b">
        <v>0</v>
      </c>
      <c r="F15" s="54">
        <f ca="1">IF(E15=TRUE, 0,IF($C$23-SUM($F$8:$F14)&gt;0,IF($C$23-SUM($F$8:$F14)&gt;C15,C15,$C$23-SUM($F$8:$F14)),0))</f>
        <v>0</v>
      </c>
      <c r="G15" s="24"/>
      <c r="H15" s="24" t="str">
        <f>IF(Input!$M$26=TRUE,($C15-$F15)/Input!$D$33,"")</f>
        <v/>
      </c>
      <c r="I15" s="24" t="str">
        <f>IF(Input!$D$32=1,"",IF(Input!$M$26=TRUE,($C15-$F15)/Input!$D$33,""))</f>
        <v/>
      </c>
      <c r="J15" s="24"/>
      <c r="K15" s="24">
        <f ca="1">IF(Input!$M$26=TRUE,($C15-$F15)/Input!$D$33,(($C15-$F15)/(Input!$D$33-Input!$D$32)))</f>
        <v>0</v>
      </c>
      <c r="L15" s="24" t="str">
        <f>IF(L$6="","",IF(Input!$M$26=TRUE,($C15-$F15)/Input!$D$33,(($C15-$F15)/(Input!$D$33-Input!$D$32))))</f>
        <v/>
      </c>
      <c r="M15" s="25" t="str">
        <f>IF(M$6="","",IF(Input!$M$26=TRUE,($C15-$F15)/Input!$D$33,(($C15-$F15)/(Input!$D$33-Input!$D$32))))</f>
        <v/>
      </c>
    </row>
    <row r="16" spans="1:14" ht="13.5" customHeight="1">
      <c r="A16" s="339"/>
      <c r="B16" s="101" t="str">
        <f>IF(Input!B13="","",Input!B13)</f>
        <v/>
      </c>
      <c r="C16" s="103">
        <f>Input!H13</f>
        <v>0</v>
      </c>
      <c r="D16" s="115">
        <f>Input!F13</f>
        <v>0.05</v>
      </c>
      <c r="E16" s="23" t="b">
        <v>0</v>
      </c>
      <c r="F16" s="54">
        <f ca="1">IF(E16=TRUE, 0,IF($C$23-SUM($F$8:$F15)&gt;0,IF($C$23-SUM($F$8:$F15)&gt;C16,C16,$C$23-SUM($F$8:$F15)),0))</f>
        <v>0</v>
      </c>
      <c r="G16" s="24"/>
      <c r="H16" s="24" t="str">
        <f>IF(Input!$M$26=TRUE,($C16-$F16)/Input!$D$33,"")</f>
        <v/>
      </c>
      <c r="I16" s="24" t="str">
        <f>IF(Input!$D$32=1,"",IF(Input!$M$26=TRUE,($C16-$F16)/Input!$D$33,""))</f>
        <v/>
      </c>
      <c r="J16" s="24"/>
      <c r="K16" s="24">
        <f ca="1">IF(Input!$M$26=TRUE,($C16-$F16)/Input!$D$33,(($C16-$F16)/(Input!$D$33-Input!$D$32)))</f>
        <v>0</v>
      </c>
      <c r="L16" s="24" t="str">
        <f>IF(L$6="","",IF(Input!$M$26=TRUE,($C16-$F16)/Input!$D$33,(($C16-$F16)/(Input!$D$33-Input!$D$32))))</f>
        <v/>
      </c>
      <c r="M16" s="25" t="str">
        <f>IF(M$6="","",IF(Input!$M$26=TRUE,($C16-$F16)/Input!$D$33,(($C16-$F16)/(Input!$D$33-Input!$D$32))))</f>
        <v/>
      </c>
    </row>
    <row r="17" spans="1:259" ht="13.5" customHeight="1">
      <c r="A17" s="339"/>
      <c r="B17" s="101" t="str">
        <f>IF(Input!B14="","",Input!B14)</f>
        <v/>
      </c>
      <c r="C17" s="103">
        <f>Input!H14</f>
        <v>0</v>
      </c>
      <c r="D17" s="115">
        <f>Input!F14</f>
        <v>0.05</v>
      </c>
      <c r="E17" s="23" t="b">
        <v>0</v>
      </c>
      <c r="F17" s="54">
        <f ca="1">IF(E17=TRUE, 0,IF($C$23-SUM($F$8:$F16)&gt;0,IF($C$23-SUM($F$8:$F16)&gt;C17,C17,$C$23-SUM($F$8:$F16)),0))</f>
        <v>0</v>
      </c>
      <c r="G17" s="24"/>
      <c r="H17" s="24" t="str">
        <f>IF(Input!$M$26=TRUE,($C17-$F17)/Input!$D$33,"")</f>
        <v/>
      </c>
      <c r="I17" s="24" t="str">
        <f>IF(Input!$D$32=1,"",IF(Input!$M$26=TRUE,($C17-$F17)/Input!$D$33,""))</f>
        <v/>
      </c>
      <c r="J17" s="24"/>
      <c r="K17" s="24">
        <f ca="1">IF(Input!$M$26=TRUE,($C17-$F17)/Input!$D$33,(($C17-$F17)/(Input!$D$33-Input!$D$32)))</f>
        <v>0</v>
      </c>
      <c r="L17" s="24" t="str">
        <f>IF(L$6="","",IF(Input!$M$26=TRUE,($C17-$F17)/Input!$D$33,(($C17-$F17)/(Input!$D$33-Input!$D$32))))</f>
        <v/>
      </c>
      <c r="M17" s="25" t="str">
        <f>IF(M$6="","",IF(Input!$M$26=TRUE,($C17-$F17)/Input!$D$33,(($C17-$F17)/(Input!$D$33-Input!$D$32))))</f>
        <v/>
      </c>
    </row>
    <row r="18" spans="1:259" ht="13.5" customHeight="1">
      <c r="A18" s="339" t="b">
        <v>1</v>
      </c>
      <c r="B18" s="101" t="str">
        <f>IF(Input!B15="","",Input!B15)</f>
        <v/>
      </c>
      <c r="C18" s="103">
        <f>Input!H15</f>
        <v>0</v>
      </c>
      <c r="D18" s="115">
        <f>Input!F15</f>
        <v>0.05</v>
      </c>
      <c r="E18" s="23" t="b">
        <v>0</v>
      </c>
      <c r="F18" s="54">
        <f ca="1">IF(E18=TRUE, 0,IF($C$23-SUM($F$8:$F17)&gt;0,IF($C$23-SUM($F$8:$F17)&gt;C18,C18,$C$23-SUM($F$8:$F17)),0))</f>
        <v>0</v>
      </c>
      <c r="G18" s="24"/>
      <c r="H18" s="96" t="str">
        <f>IF(Input!$A$15=TRUE,($C$18-$F$18)/Input!$D$32,IF(Input!$M$26=TRUE,($C18-$F18)/Input!$D$33,""))</f>
        <v/>
      </c>
      <c r="I18" s="96" t="str">
        <f>IF(Input!$A$15=TRUE,IF(Input!$D$32=1,"",($C$18-$F$18)/Input!$D$32),IF(Input!$D$32=1,"",IF(Input!$M$26=TRUE,($C18-$F18)/Input!$D$33,"")))</f>
        <v/>
      </c>
      <c r="J18" s="24"/>
      <c r="K18" s="96">
        <f ca="1">IF(Input!$A$15=TRUE,IF(K$6="N/A","","N/A"),IF(K$6="","",($C18-$F18)/(Input!$D$33-IF(Input!$A$15=TRUE,Input!$D$32,0))))</f>
        <v>0</v>
      </c>
      <c r="L18" s="96" t="str">
        <f>IF(Input!$A$15=TRUE,IF(L$6="N/A","","N/A"),IF(L$6="","",($C18-$F18)/(Input!$D$33-IF(Input!$A$15=TRUE,Input!$D$32,0))))</f>
        <v/>
      </c>
      <c r="M18" s="97" t="str">
        <f>IF(Input!$A$15=TRUE,IF(M$6="N/A","","N/A"),IF(M$6="","",($C18-$F18)/(Input!$D$33-IF(Input!$A$15=TRUE,Input!$D$32,0))))</f>
        <v/>
      </c>
    </row>
    <row r="19" spans="1:259" ht="15.75" customHeight="1">
      <c r="A19" s="340" t="b">
        <v>1</v>
      </c>
      <c r="B19" s="118" t="str">
        <f>IF(Input!B16="","",Input!B16)</f>
        <v>Family Business (S Corp)</v>
      </c>
      <c r="C19" s="104">
        <f>Input!H16</f>
        <v>5000000</v>
      </c>
      <c r="D19" s="116">
        <f>Input!F16</f>
        <v>0.05</v>
      </c>
      <c r="E19" s="94" t="b">
        <v>0</v>
      </c>
      <c r="F19" s="55">
        <f ca="1">IF(E19=TRUE, 0,IF($C$23-SUM($F$8:$F18)&gt;0,IF($C$23-SUM($F$8:$F18)&gt;C19,C19,$C$23-SUM($F$8:$F18)),0))</f>
        <v>0</v>
      </c>
      <c r="G19" s="26"/>
      <c r="H19" s="96">
        <f ca="1">IF(Input!$A$16=TRUE,($C$19-$F$19)/Input!$D$32,IF(Input!$M$26=TRUE,($C19-$F19)/Input!$D$33,""))</f>
        <v>5000000</v>
      </c>
      <c r="I19" s="96" t="str">
        <f>IF(Input!$A$16=TRUE,IF(Input!$D$32=1,"",($C$19-$F$19)/Input!$D$32),IF(Input!$D$32=1,"",IF(Input!$M$26=TRUE,($C19-$F19)/Input!$D$33,"")))</f>
        <v/>
      </c>
      <c r="J19" s="24"/>
      <c r="K19" s="96" t="str">
        <f>IF(Input!$A$16=TRUE,IF(K$6="N/A","","N/A"),IF(K$6="","",($C19-$F19)/(Input!$D$33-IF(Input!$A$15=TRUE,Input!$D$32,0))))</f>
        <v>N/A</v>
      </c>
      <c r="L19" s="96" t="str">
        <f>IF(Input!$A$16=TRUE,IF(L$6="N/A","","N/A"),IF(L$6="","",($C19-$F19)/(Input!$D$33-IF(Input!$A$15=TRUE,Input!$D$32,0))))</f>
        <v>N/A</v>
      </c>
      <c r="M19" s="97" t="str">
        <f>IF(Input!$A$16=TRUE,IF(M$6="N/A","","N/A"),IF(M$6="","",($C19-$F19)/(Input!$D$33-IF(Input!$A$15=TRUE,Input!$D$32,0))))</f>
        <v>N/A</v>
      </c>
    </row>
    <row r="20" spans="1:259" ht="18.75" customHeight="1">
      <c r="B20" s="4" t="s">
        <v>4</v>
      </c>
      <c r="C20" s="27">
        <f>SUM(C10:C19)</f>
        <v>7500000</v>
      </c>
      <c r="D20" s="27"/>
      <c r="E20" s="347" t="s">
        <v>147</v>
      </c>
      <c r="F20" s="347"/>
      <c r="G20" s="347"/>
      <c r="H20" s="347"/>
      <c r="I20" s="347"/>
      <c r="J20" s="347"/>
      <c r="K20" s="347"/>
      <c r="L20" s="347"/>
      <c r="M20" s="347"/>
    </row>
    <row r="21" spans="1:259" ht="15.75" customHeight="1">
      <c r="B21" s="4" t="s">
        <v>82</v>
      </c>
      <c r="C21" s="28">
        <f>IF(Input!$D$26=TRUE,IF(C20&gt;=Tables!$A$10,-Tables!$A$10,-C20),0)</f>
        <v>-3500000</v>
      </c>
      <c r="D21" s="27"/>
      <c r="E21" s="348"/>
      <c r="F21" s="348"/>
      <c r="G21" s="348"/>
      <c r="H21" s="348"/>
      <c r="I21" s="348"/>
      <c r="J21" s="348"/>
      <c r="K21" s="348"/>
      <c r="L21" s="348"/>
      <c r="M21" s="348"/>
    </row>
    <row r="22" spans="1:259" ht="15.75" customHeight="1">
      <c r="B22" s="4" t="s">
        <v>3</v>
      </c>
      <c r="C22" s="29">
        <f>C20+C21</f>
        <v>4000000</v>
      </c>
      <c r="D22" s="29"/>
      <c r="E22" s="348"/>
      <c r="F22" s="348"/>
      <c r="G22" s="348"/>
      <c r="H22" s="348"/>
      <c r="I22" s="348"/>
      <c r="J22" s="348"/>
      <c r="K22" s="348"/>
      <c r="L22" s="348"/>
      <c r="M22" s="348"/>
    </row>
    <row r="23" spans="1:259" ht="14.25" customHeight="1">
      <c r="B23" s="4" t="s">
        <v>5</v>
      </c>
      <c r="C23" s="57">
        <f ca="1">Tables!$B$40</f>
        <v>0</v>
      </c>
      <c r="D23" s="112"/>
      <c r="E23" s="29"/>
      <c r="F23" s="56">
        <f ca="1">C23-SUM(F8:F19)</f>
        <v>0</v>
      </c>
      <c r="G23" s="29"/>
      <c r="H23" s="30">
        <f ca="1">-$F$23/Input!$D$32</f>
        <v>0</v>
      </c>
      <c r="I23" s="29" t="str">
        <f>IF(Input!D32=1,"",$F$23/Input!$D$32)</f>
        <v/>
      </c>
      <c r="J23" s="29"/>
      <c r="K23" s="29"/>
      <c r="L23" s="29"/>
      <c r="M23" s="29"/>
    </row>
    <row r="24" spans="1:259" ht="15.75" customHeight="1" thickBot="1">
      <c r="B24" s="4" t="s">
        <v>22</v>
      </c>
      <c r="C24" s="29"/>
      <c r="D24" s="29"/>
      <c r="E24" s="29"/>
      <c r="F24" s="58">
        <f ca="1">SUM(F8:F23)</f>
        <v>0</v>
      </c>
      <c r="G24" s="31"/>
      <c r="H24" s="32">
        <f ca="1">SUM(H8:H23)</f>
        <v>5000000</v>
      </c>
      <c r="I24" s="32" t="str">
        <f>IF(I6="","",SUM(I8:I23))</f>
        <v/>
      </c>
      <c r="J24" s="31"/>
      <c r="K24" s="32">
        <f ca="1">SUM(K8:K23)</f>
        <v>2500000</v>
      </c>
      <c r="L24" s="32">
        <f>SUM(L8:L23)</f>
        <v>0</v>
      </c>
      <c r="M24" s="32" t="str">
        <f>IF(M6="","",SUM(M8:M23))</f>
        <v/>
      </c>
    </row>
    <row r="25" spans="1:259" s="37" customFormat="1" ht="14.25" customHeight="1" thickTop="1">
      <c r="B25" s="4" t="s">
        <v>9</v>
      </c>
      <c r="C25" s="33"/>
      <c r="D25" s="33"/>
      <c r="E25" s="33"/>
      <c r="F25" s="59">
        <f ca="1">F24/$C$20</f>
        <v>0</v>
      </c>
      <c r="G25" s="34"/>
      <c r="H25" s="35">
        <f ca="1">H24/$C$20</f>
        <v>0.66666666666666663</v>
      </c>
      <c r="I25" s="35" t="str">
        <f>IF(I6="","",I24/$C$20)</f>
        <v/>
      </c>
      <c r="J25" s="34"/>
      <c r="K25" s="35">
        <f ca="1">IF(K6="","",K24/$C$20)</f>
        <v>0.33333333333333331</v>
      </c>
      <c r="L25" s="35" t="str">
        <f>IF(L6="","",L24/$C$20)</f>
        <v/>
      </c>
      <c r="M25" s="35" t="str">
        <f>IF(M6="","",M24/$C$20)</f>
        <v/>
      </c>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c r="IY25" s="36"/>
    </row>
    <row r="26" spans="1:259" ht="24.75" customHeight="1">
      <c r="A26" s="60" t="s">
        <v>54</v>
      </c>
      <c r="C26" s="60"/>
      <c r="D26" s="60"/>
      <c r="E26" s="60"/>
      <c r="F26" s="60"/>
      <c r="G26" s="60"/>
      <c r="H26" s="60"/>
      <c r="I26" s="60"/>
      <c r="J26" s="60"/>
      <c r="K26" s="60"/>
      <c r="L26" s="60"/>
      <c r="M26" s="60"/>
    </row>
    <row r="27" spans="1:259" ht="66.75" customHeight="1">
      <c r="A27" s="341" t="s">
        <v>24</v>
      </c>
      <c r="B27" s="341"/>
      <c r="C27" s="341"/>
      <c r="D27" s="341"/>
      <c r="E27" s="341"/>
      <c r="F27" s="341"/>
      <c r="G27" s="341"/>
      <c r="H27" s="341"/>
      <c r="I27" s="341"/>
      <c r="J27" s="341"/>
      <c r="K27" s="341"/>
      <c r="L27" s="341"/>
      <c r="M27" s="341"/>
    </row>
    <row r="28" spans="1:259" ht="14.25" customHeight="1">
      <c r="A28" s="83" t="s">
        <v>98</v>
      </c>
      <c r="C28" s="99"/>
      <c r="D28" s="99"/>
      <c r="F28" s="84"/>
      <c r="G28" s="84"/>
      <c r="H28" s="84"/>
      <c r="I28" s="84"/>
      <c r="J28" s="84"/>
      <c r="K28" s="84"/>
      <c r="L28" s="84"/>
      <c r="M28" s="84"/>
    </row>
  </sheetData>
  <sheetProtection password="D977" sheet="1" objects="1" scenarios="1" selectLockedCells="1"/>
  <mergeCells count="8">
    <mergeCell ref="A10:A19"/>
    <mergeCell ref="A27:M27"/>
    <mergeCell ref="A1:M1"/>
    <mergeCell ref="A2:M2"/>
    <mergeCell ref="H4:I4"/>
    <mergeCell ref="K4:M4"/>
    <mergeCell ref="A3:M3"/>
    <mergeCell ref="E20:M22"/>
  </mergeCells>
  <printOptions horizontalCentered="1"/>
  <pageMargins left="0.5" right="0.5" top="0.5" bottom="0.5" header="0" footer="0"/>
  <pageSetup orientation="landscape" r:id="rId1"/>
  <headerFooter alignWithMargins="0"/>
  <ignoredErrors>
    <ignoredError sqref="C10:C19 D11:D19" unlockedFormula="1"/>
  </ignoredErrors>
  <legacyDrawing r:id="rId2"/>
</worksheet>
</file>

<file path=xl/worksheets/sheet4.xml><?xml version="1.0" encoding="utf-8"?>
<worksheet xmlns="http://schemas.openxmlformats.org/spreadsheetml/2006/main" xmlns:r="http://schemas.openxmlformats.org/officeDocument/2006/relationships">
  <dimension ref="A1:R20"/>
  <sheetViews>
    <sheetView showGridLines="0" showRowColHeaders="0" workbookViewId="0">
      <selection activeCell="I5" sqref="I5"/>
    </sheetView>
  </sheetViews>
  <sheetFormatPr defaultRowHeight="15.75"/>
  <cols>
    <col min="1" max="1" width="2.77734375" style="199" customWidth="1"/>
    <col min="2" max="7" width="10.6640625" style="199" customWidth="1"/>
    <col min="8" max="8" width="15.44140625" style="199" customWidth="1"/>
    <col min="9" max="9" width="5" style="227" customWidth="1"/>
    <col min="10" max="10" width="14.77734375" style="206" customWidth="1"/>
    <col min="11" max="11" width="12.33203125" style="200" hidden="1" customWidth="1"/>
    <col min="12" max="12" width="10.6640625" style="197" hidden="1" customWidth="1"/>
    <col min="13" max="13" width="11" style="198" hidden="1" customWidth="1"/>
    <col min="14" max="14" width="11" style="197" hidden="1" customWidth="1"/>
    <col min="15" max="18" width="8.88671875" style="197"/>
    <col min="19" max="16384" width="8.88671875" style="199"/>
  </cols>
  <sheetData>
    <row r="1" spans="1:18" ht="33.75" customHeight="1">
      <c r="A1" s="354" t="s">
        <v>46</v>
      </c>
      <c r="B1" s="354"/>
      <c r="C1" s="354"/>
      <c r="D1" s="354"/>
      <c r="E1" s="354"/>
      <c r="F1" s="354"/>
      <c r="G1" s="354"/>
      <c r="H1" s="354"/>
      <c r="I1" s="354"/>
      <c r="J1" s="354"/>
      <c r="K1" s="196" t="str">
        <f>IF('Current Distribution'!$A$19=TRUE,'Current Distribution'!$B$19,"")&amp;IF('Current Distribution'!$A$18=TRUE," and "&amp;'Current Distribution'!$B$18,"")</f>
        <v xml:space="preserve">Family Business (S Corp) and </v>
      </c>
    </row>
    <row r="2" spans="1:18" ht="33.75" customHeight="1">
      <c r="A2" s="356" t="str">
        <f ca="1">"Assuming an estate value of "&amp;DOLLAR('Current Distribution'!$C$20,0)&amp;"; "&amp;$L$3&amp;" valued at "&amp;DOLLAR($K$3,0)&amp;"; "&amp;Input!$D$33&amp;" children with "&amp;Input!$D$32&amp;" in the business; estimated estate taxes of "&amp;DOLLAR('Current Distribution'!$C$23,0)&amp;"; and "&amp;DOLLAR(SUM('Current Distribution'!$K$24:$M$24),0)&amp;" of other assets and existing life insurance available for distribution to children outside the business."</f>
        <v>Assuming an estate value of $7,500,000; business valued at $5,000,000; 2 children with 1 in the business; estimated estate taxes of $0; and $2,500,000 of other assets and existing life insurance available for distribution to children outside the business.</v>
      </c>
      <c r="B2" s="356"/>
      <c r="C2" s="356"/>
      <c r="D2" s="356"/>
      <c r="E2" s="356"/>
      <c r="F2" s="356"/>
      <c r="G2" s="356"/>
      <c r="H2" s="356"/>
      <c r="I2" s="356"/>
      <c r="J2" s="356"/>
      <c r="K2" s="202" t="s">
        <v>93</v>
      </c>
      <c r="L2" s="203" t="s">
        <v>94</v>
      </c>
      <c r="M2" s="202" t="s">
        <v>104</v>
      </c>
      <c r="N2" s="202" t="s">
        <v>95</v>
      </c>
    </row>
    <row r="3" spans="1:18">
      <c r="B3" s="204"/>
      <c r="C3" s="205"/>
      <c r="D3" s="205"/>
      <c r="I3" s="292" t="s">
        <v>92</v>
      </c>
      <c r="K3" s="207">
        <f>IF(Input!$A$15=TRUE,Input!$H$15,0)+IF(Input!$A$16=TRUE,Input!$H$16,0)</f>
        <v>5000000</v>
      </c>
      <c r="L3" s="198" t="str">
        <f>IF(Input!$A$15=TRUE,"businesses","business")</f>
        <v>business</v>
      </c>
      <c r="M3" s="208">
        <f>$K$3/Input!$D$32</f>
        <v>5000000</v>
      </c>
      <c r="N3" s="208">
        <f>$K$3/Input!$D$33</f>
        <v>2500000</v>
      </c>
    </row>
    <row r="4" spans="1:18">
      <c r="B4" s="237" t="s">
        <v>123</v>
      </c>
      <c r="C4" s="205"/>
      <c r="D4" s="205"/>
      <c r="I4" s="198"/>
      <c r="J4" s="239" t="s">
        <v>119</v>
      </c>
      <c r="K4" s="207"/>
      <c r="L4" s="198"/>
      <c r="M4" s="208"/>
      <c r="N4" s="208"/>
    </row>
    <row r="5" spans="1:18" s="212" customFormat="1" ht="61.5" customHeight="1">
      <c r="A5" s="209">
        <v>1</v>
      </c>
      <c r="B5" s="355" t="str">
        <f ca="1">"Bequest your "&amp;DOLLAR($K$3,0)&amp;" "&amp;$L$3&amp;" to "&amp;Input!$L$6&amp;IF(Input!$D$32=2," and "&amp;Input!$L$7,"")&amp;" at death.  Buy "&amp;DOLLAR($K$5,0)&amp;" of single life or survivorship insurance, and use all your other assets and existing life insurance to equalize your other children outside the business, PLUS cover potenial estate taxes of "&amp;DOLLAR('Current Distribution'!$F$24,0)&amp;".  The new life insurance should be owned within an irrevocable trust outside of your taxable estate, for the benefit of the children not working in the business."</f>
        <v>Bequest your $5,000,000 business to Sarah at death.  Buy $2,500,000 of single life or survivorship insurance, and use all your other assets and existing life insurance to equalize your other children outside the business, PLUS cover potenial estate taxes of $0.  The new life insurance should be owned within an irrevocable trust outside of your taxable estate, for the benefit of the children not working in the business.</v>
      </c>
      <c r="C5" s="355"/>
      <c r="D5" s="355"/>
      <c r="E5" s="355"/>
      <c r="F5" s="355"/>
      <c r="G5" s="355"/>
      <c r="H5" s="355"/>
      <c r="I5" s="224" t="b">
        <v>1</v>
      </c>
      <c r="J5" s="201" t="str">
        <f ca="1">DOLLAR(K5,0)&amp;"                 Cover Tax and Equalize"</f>
        <v>$2,500,000                 Cover Tax and Equalize</v>
      </c>
      <c r="K5" s="210">
        <f ca="1">IF((('Current Distribution'!$H$24-'Current Distribution'!$K$24)*(Input!$D$33-Input!$D$32))&lt;0,0,(('Current Distribution'!$H$24-'Current Distribution'!$K$24)*(Input!$D$33-Input!$D$32)))</f>
        <v>2500000</v>
      </c>
      <c r="L5" s="210"/>
      <c r="M5" s="210"/>
      <c r="N5" s="210"/>
      <c r="O5" s="211"/>
      <c r="P5" s="211"/>
      <c r="Q5" s="211"/>
      <c r="R5" s="211"/>
    </row>
    <row r="6" spans="1:18" s="212" customFormat="1" ht="57" hidden="1" customHeight="1">
      <c r="A6" s="209">
        <v>2</v>
      </c>
      <c r="B6" s="349" t="str">
        <f ca="1">"Allow "&amp;Input!$L$6&amp;IF(Input!$D$32=2," and "&amp;Input!$L$7,"")&amp;", now working in the "&amp;$L$3&amp;", to buy the "&amp;$L$3&amp;" from the estate at either your death or the death of you and your spouse using either single life or survivorship insurance as a funding source.  Set a side sufficent liquid funds in an ILIT for potential estate taxes of "&amp;DOLLAR('Current Distribution'!F24,0)&amp;".  Establish a unilateral buy sell agreement and fund it with "&amp;DOLLAR($L$6,0)&amp;" of life insurance, owned by the either the business or by "&amp;Input!$L$6&amp;IF(Input!$D$32=2," and "&amp;Input!$L$7,"")&amp;"."</f>
        <v>Allow Sarah, now working in the business, to buy the business from the estate at either your death or the death of you and your spouse using either single life or survivorship insurance as a funding source.  Set a side sufficent liquid funds in an ILIT for potential estate taxes of $0.  Establish a unilateral buy sell agreement and fund it with $2,500,000 of life insurance, owned by the either the business or by Sarah.</v>
      </c>
      <c r="C6" s="350"/>
      <c r="D6" s="350"/>
      <c r="E6" s="350"/>
      <c r="F6" s="350"/>
      <c r="G6" s="350"/>
      <c r="H6" s="350"/>
      <c r="I6" s="225" t="b">
        <v>0</v>
      </c>
      <c r="J6" s="213" t="str">
        <f ca="1">"Tax "&amp;DOLLAR(K6,0)&amp;"                             BuySell "&amp;DOLLAR(L6,0)</f>
        <v>Tax $0                             BuySell $2,500,000</v>
      </c>
      <c r="K6" s="210">
        <f ca="1">'Current Distribution'!$C$23</f>
        <v>0</v>
      </c>
      <c r="L6" s="214">
        <f>IF(Input!$M$27=TRUE,Options!$M$3*(Input!$D$33-Input!$D$32),Options!$N$3*(Input!$D$33-Input!$D$32))</f>
        <v>2500000</v>
      </c>
      <c r="M6" s="214">
        <f>M3</f>
        <v>5000000</v>
      </c>
      <c r="N6" s="210"/>
      <c r="O6" s="211"/>
      <c r="P6" s="215"/>
      <c r="Q6" s="211"/>
      <c r="R6" s="211"/>
    </row>
    <row r="7" spans="1:18" s="212" customFormat="1" ht="80.25" hidden="1" customHeight="1">
      <c r="A7" s="209">
        <v>3</v>
      </c>
      <c r="B7" s="349" t="str">
        <f ca="1">"Allow "&amp;Input!$L$6&amp;IF(Input!$D$32=2," and "&amp;Input!$L$7,"")&amp;", now working in the "&amp;$L$3&amp;", to begin to buy the "&amp;$L$3&amp;" from you at retirement, with any unpaid amount paid to the estate at either your death or the death of you and your spouse using either single life or survivorship insurance.  Set a side sufficent liquid funds in an ILIT for estate taxes of "&amp;DOLLAR('Current Distribution'!F24,0)&amp;".  Establish a unilateral buy sell agreement and fund it with "&amp;DOLLAR($L$6,0)&amp;" of life insurance, owned by the either the business or by "&amp;Input!$L$6&amp;IF(Input!$D$32=2," and "&amp;Input!$L$7,"")&amp;".  Cash payments and any single life insurance at your death can be used for retirement and your spoue's survivor income needs."</f>
        <v>Allow Sarah, now working in the business, to begin to buy the business from you at retirement, with any unpaid amount paid to the estate at either your death or the death of you and your spouse using either single life or survivorship insurance.  Set a side sufficent liquid funds in an ILIT for estate taxes of $0.  Establish a unilateral buy sell agreement and fund it with $2,500,000 of life insurance, owned by the either the business or by Sarah.  Cash payments and any single life insurance at your death can be used for retirement and your spoue's survivor income needs.</v>
      </c>
      <c r="C7" s="350"/>
      <c r="D7" s="350"/>
      <c r="E7" s="350"/>
      <c r="F7" s="350"/>
      <c r="G7" s="350"/>
      <c r="H7" s="350"/>
      <c r="J7" s="213" t="str">
        <f ca="1">"Tax "&amp;DOLLAR(K7,0)&amp;"                             BuySell "&amp;DOLLAR(L7,0)</f>
        <v>Tax $0                             BuySell $2,500,000</v>
      </c>
      <c r="K7" s="210">
        <f ca="1">'Current Distribution'!$C$23</f>
        <v>0</v>
      </c>
      <c r="L7" s="214">
        <f>IF(Input!$M$27=TRUE,Options!$M$3*(Input!$D$33-Input!$D$32),Options!$N$3*(Input!$D$33-Input!$D$32))</f>
        <v>2500000</v>
      </c>
      <c r="M7" s="216">
        <f ca="1">IF(Input!$A$15=TRUE,'Current Distribution'!H24-'Current Distribution'!H19-'Current Distribution'!H18,'Current Distribution'!H24-'Current Distribution'!H19)</f>
        <v>0</v>
      </c>
      <c r="N7" s="211"/>
      <c r="O7" s="211"/>
      <c r="P7" s="211"/>
      <c r="Q7" s="211"/>
      <c r="R7" s="211"/>
    </row>
    <row r="8" spans="1:18" s="212" customFormat="1" ht="24" customHeight="1">
      <c r="A8" s="238"/>
      <c r="B8" s="237" t="s">
        <v>124</v>
      </c>
      <c r="C8" s="235"/>
      <c r="D8" s="235"/>
      <c r="E8" s="235"/>
      <c r="F8" s="235"/>
      <c r="G8" s="235"/>
      <c r="H8" s="235"/>
      <c r="J8" s="293" t="s">
        <v>135</v>
      </c>
      <c r="K8" s="210"/>
      <c r="L8" s="214"/>
      <c r="M8" s="216"/>
      <c r="N8" s="211"/>
      <c r="O8" s="211"/>
      <c r="P8" s="211"/>
      <c r="Q8" s="211"/>
      <c r="R8" s="211"/>
    </row>
    <row r="9" spans="1:18" s="212" customFormat="1" ht="81" customHeight="1">
      <c r="A9" s="209">
        <v>2</v>
      </c>
      <c r="B9" s="349" t="str">
        <f>"Allow "&amp;Input!$L$6&amp;IF(Input!$D$32=2," and "&amp;Input!$L$7,"")&amp;" to buyout their sibling(s) interests though a unilateral buy sell arrangement.  Alternatively, recapitalize your business with 1% voting and 99% non-voting interests.  Transfer the voting interest to "&amp;Input!$L$6&amp;IF(Input!$D$32=2," and "&amp;Input!$L$7,"")&amp;", working in "&amp;$L$3&amp;" at your retirement or death and bequest the non-voting interests equally to all children at your death or the death of your and your spouse.  Create a buysell agreement for "&amp;Input!$L$6&amp;IF(Input!$D$32=2," and "&amp;Input!$L$7,"")&amp;" and fund it with approximately "&amp;DOLLAR($L$6,0)&amp;" of life insurance to buyout the non voting shares of the other children not in "&amp;$L$3&amp;" at your death or the death of you and your spouse, using either single life or survivorship insurance."</f>
        <v>Allow Sarah to buyout their sibling(s) interests though a unilateral buy sell arrangement.  Alternatively, recapitalize your business with 1% voting and 99% non-voting interests.  Transfer the voting interest to Sarah, working in business at your retirement or death and bequest the non-voting interests equally to all children at your death or the death of your and your spouse.  Create a buysell agreement for Sarah and fund it with approximately $2,500,000 of life insurance to buyout the non voting shares of the other children not in business at your death or the death of you and your spouse, using either single life or survivorship insurance.</v>
      </c>
      <c r="C9" s="350"/>
      <c r="D9" s="350"/>
      <c r="E9" s="350"/>
      <c r="F9" s="350"/>
      <c r="G9" s="350"/>
      <c r="H9" s="350"/>
      <c r="I9" s="225" t="b">
        <v>0</v>
      </c>
      <c r="J9" s="201" t="str">
        <f ca="1">"Tax "&amp;DOLLAR(K9,0)&amp;"                             Buy Sell "&amp;DOLLAR(L9,0)&amp;"    reduced by "&amp;Input!$L$6&amp;IF(Input!$D$32=2," and "&amp;Input!$L$7,"")&amp;" share."</f>
        <v>Tax $0                             Buy Sell $2,500,000    reduced by Sarah share.</v>
      </c>
      <c r="K9" s="210">
        <f ca="1">'Current Distribution'!$C$23</f>
        <v>0</v>
      </c>
      <c r="L9" s="214">
        <f>IF(Input!$M$27=TRUE,Options!$M$3*(Input!$D$33-Input!$D$32),Options!$N$3*(Input!$D$33-Input!$D$32))</f>
        <v>2500000</v>
      </c>
      <c r="M9" s="217"/>
      <c r="N9" s="211"/>
      <c r="O9" s="211"/>
      <c r="P9" s="211"/>
      <c r="Q9" s="211"/>
      <c r="R9" s="211"/>
    </row>
    <row r="10" spans="1:18" s="212" customFormat="1" ht="22.5" customHeight="1">
      <c r="A10" s="302"/>
      <c r="B10" s="357" t="s">
        <v>148</v>
      </c>
      <c r="C10" s="357"/>
      <c r="D10" s="357"/>
      <c r="E10" s="357"/>
      <c r="F10" s="357"/>
      <c r="G10" s="357"/>
      <c r="H10" s="357"/>
      <c r="I10" s="357"/>
      <c r="J10" s="357"/>
      <c r="K10" s="210"/>
      <c r="L10" s="214"/>
      <c r="M10" s="217"/>
      <c r="N10" s="211"/>
      <c r="O10" s="211"/>
      <c r="P10" s="211"/>
      <c r="Q10" s="211"/>
      <c r="R10" s="211"/>
    </row>
    <row r="11" spans="1:18" s="212" customFormat="1" ht="13.5" customHeight="1">
      <c r="A11" s="218"/>
      <c r="B11" s="294" t="s">
        <v>140</v>
      </c>
      <c r="C11" s="218"/>
      <c r="D11" s="218"/>
      <c r="E11" s="218"/>
      <c r="F11" s="218"/>
      <c r="G11" s="218"/>
      <c r="H11" s="218"/>
      <c r="I11" s="226"/>
      <c r="J11" s="303">
        <f ca="1">'Proposed Distribution'!H25-'Proposed Distribution'!K25</f>
        <v>0</v>
      </c>
      <c r="K11" s="210"/>
      <c r="L11" s="214"/>
      <c r="M11" s="217"/>
      <c r="N11" s="211"/>
      <c r="O11" s="211"/>
      <c r="P11" s="211"/>
      <c r="Q11" s="211"/>
      <c r="R11" s="211"/>
    </row>
    <row r="12" spans="1:18" s="212" customFormat="1" ht="16.5" customHeight="1">
      <c r="A12" s="218"/>
      <c r="B12" s="294" t="s">
        <v>138</v>
      </c>
      <c r="C12" s="218"/>
      <c r="D12" s="218"/>
      <c r="E12" s="218"/>
      <c r="F12" s="218"/>
      <c r="G12" s="218"/>
      <c r="H12" s="218"/>
      <c r="I12" s="226"/>
      <c r="J12" s="295">
        <v>0</v>
      </c>
      <c r="K12" s="210"/>
      <c r="L12" s="214"/>
      <c r="M12" s="217"/>
      <c r="N12" s="211"/>
      <c r="O12" s="211"/>
      <c r="P12" s="211"/>
      <c r="Q12" s="211"/>
      <c r="R12" s="211"/>
    </row>
    <row r="13" spans="1:18" s="212" customFormat="1" ht="16.5" customHeight="1">
      <c r="A13" s="218"/>
      <c r="B13" s="294" t="s">
        <v>139</v>
      </c>
      <c r="C13" s="218"/>
      <c r="D13" s="218"/>
      <c r="E13" s="218"/>
      <c r="F13" s="218"/>
      <c r="G13" s="218"/>
      <c r="H13" s="218"/>
      <c r="I13" s="226"/>
      <c r="J13" s="295">
        <v>0</v>
      </c>
      <c r="K13" s="210"/>
      <c r="L13" s="214"/>
      <c r="M13" s="217"/>
      <c r="N13" s="211"/>
      <c r="O13" s="211"/>
      <c r="P13" s="211"/>
      <c r="Q13" s="211"/>
      <c r="R13" s="211"/>
    </row>
    <row r="14" spans="1:18" ht="12" customHeight="1"/>
    <row r="15" spans="1:18" ht="126" customHeight="1">
      <c r="A15" s="351" t="s">
        <v>155</v>
      </c>
      <c r="B15" s="352"/>
      <c r="C15" s="352"/>
      <c r="D15" s="352"/>
      <c r="E15" s="352"/>
      <c r="F15" s="353"/>
      <c r="G15" s="241"/>
      <c r="H15" s="241"/>
      <c r="I15" s="241"/>
      <c r="J15" s="241"/>
    </row>
    <row r="16" spans="1:18" ht="8.25" customHeight="1"/>
    <row r="17" spans="2:2">
      <c r="B17" s="228" t="s">
        <v>136</v>
      </c>
    </row>
    <row r="18" spans="2:2" ht="5.25" customHeight="1"/>
    <row r="19" spans="2:2" ht="21" customHeight="1">
      <c r="B19" s="199" t="s">
        <v>137</v>
      </c>
    </row>
    <row r="20" spans="2:2" ht="6.75" customHeight="1"/>
  </sheetData>
  <sheetProtection password="D977" sheet="1" objects="1" scenarios="1" selectLockedCells="1"/>
  <mergeCells count="8">
    <mergeCell ref="B9:H9"/>
    <mergeCell ref="A15:F15"/>
    <mergeCell ref="A1:J1"/>
    <mergeCell ref="B5:H5"/>
    <mergeCell ref="B6:H6"/>
    <mergeCell ref="B7:H7"/>
    <mergeCell ref="A2:J2"/>
    <mergeCell ref="B10:J10"/>
  </mergeCells>
  <pageMargins left="0.7" right="0.7" top="0.7" bottom="0.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dimension ref="A1:IY29"/>
  <sheetViews>
    <sheetView showGridLines="0" showRowColHeaders="0" zoomScaleNormal="100" workbookViewId="0">
      <selection activeCell="E4" sqref="E4"/>
    </sheetView>
  </sheetViews>
  <sheetFormatPr defaultColWidth="10.6640625" defaultRowHeight="15.75"/>
  <cols>
    <col min="1" max="1" width="2.109375" style="5" customWidth="1"/>
    <col min="2" max="2" width="25.21875" style="4" customWidth="1"/>
    <col min="3" max="3" width="9.77734375" style="4" customWidth="1"/>
    <col min="4" max="4" width="4.77734375" style="4" customWidth="1"/>
    <col min="5" max="5" width="2.5546875" style="4" customWidth="1"/>
    <col min="6" max="6" width="10.109375" style="6" customWidth="1"/>
    <col min="7" max="7" width="0.44140625" style="4" customWidth="1"/>
    <col min="8" max="9" width="9.77734375" style="4" customWidth="1"/>
    <col min="10" max="10" width="0.33203125" style="4" customWidth="1"/>
    <col min="11" max="13" width="9.77734375" style="4" customWidth="1"/>
    <col min="14" max="14" width="1.6640625" style="4" customWidth="1"/>
    <col min="15" max="259" width="10.6640625" style="4"/>
    <col min="260" max="16384" width="10.6640625" style="5"/>
  </cols>
  <sheetData>
    <row r="1" spans="1:14" ht="30" customHeight="1">
      <c r="A1" s="317" t="s">
        <v>49</v>
      </c>
      <c r="B1" s="317"/>
      <c r="C1" s="317"/>
      <c r="D1" s="317"/>
      <c r="E1" s="317"/>
      <c r="F1" s="317"/>
      <c r="G1" s="317"/>
      <c r="H1" s="317"/>
      <c r="I1" s="317"/>
      <c r="J1" s="317"/>
      <c r="K1" s="317"/>
      <c r="L1" s="317"/>
      <c r="M1" s="317"/>
      <c r="N1" s="2"/>
    </row>
    <row r="2" spans="1:14" ht="18.75" customHeight="1">
      <c r="A2" s="359" t="s">
        <v>59</v>
      </c>
      <c r="B2" s="359"/>
      <c r="C2" s="359"/>
      <c r="D2" s="359"/>
      <c r="E2" s="359"/>
      <c r="F2" s="359"/>
      <c r="G2" s="359"/>
      <c r="H2" s="359"/>
      <c r="I2" s="359"/>
      <c r="J2" s="359"/>
      <c r="K2" s="359"/>
      <c r="L2" s="359"/>
      <c r="M2" s="359"/>
      <c r="N2" s="2"/>
    </row>
    <row r="3" spans="1:14" ht="22.5" customHeight="1">
      <c r="B3" s="346" t="str">
        <f>IF(Input!$D$26=TRUE,"Ages ","Age ")&amp;Input!$D$24+Input!$D$27&amp;"/"&amp;IF(Input!$D$26=TRUE,Input!$D$25+Input!$D$27,"")&amp;"    Year: "&amp;Input!$M$28+Input!$D$27</f>
        <v>Ages 60/60    Year: 2012</v>
      </c>
      <c r="C3" s="346"/>
      <c r="D3" s="346"/>
      <c r="E3" s="346"/>
      <c r="F3" s="346"/>
      <c r="G3" s="346"/>
      <c r="H3" s="346"/>
      <c r="I3" s="346"/>
      <c r="J3" s="346"/>
      <c r="K3" s="346"/>
      <c r="L3" s="346"/>
      <c r="M3" s="346"/>
      <c r="N3" s="346"/>
    </row>
    <row r="4" spans="1:14" ht="19.5" customHeight="1">
      <c r="B4" s="82" t="str">
        <f>IF(Options!$I$5=TRUE,"Liquidity Needed to Equalize + Taxes:","Liquidity Needed for Taxes + Add'l Ins.:")</f>
        <v>Liquidity Needed to Equalize + Taxes:</v>
      </c>
      <c r="C4" s="108">
        <f ca="1">IF(Options!$I$5=TRUE,Options!$K$5,IF(Tables!$I$44=TRUE,Tables!$K$44,IF(Options!$I$6=TRUE,Options!$K$6,IF(Tables!$E$2=TRUE,Options!$K$7,IF(Tables!$I$45=TRUE,Tables!$K$45,IF(Options!$I$9=TRUE,Options!$K$9,IF(Tables!$I$46=TRUE,Tables!$K$46,0)))))))+(Options!$J$12*(Input!$D$33-Input!$D$32))</f>
        <v>2500000</v>
      </c>
      <c r="D4" s="86"/>
      <c r="E4" s="93" t="b">
        <v>1</v>
      </c>
      <c r="F4" s="82" t="s">
        <v>99</v>
      </c>
      <c r="H4" s="343" t="str">
        <f>IF(Input!D$32&gt;1,"Children In the Business","Child In the Business")</f>
        <v>Child In the Business</v>
      </c>
      <c r="I4" s="344"/>
      <c r="J4" s="7"/>
      <c r="K4" s="343" t="str">
        <f>IF(Input!$D$33-Input!$D$32&gt;1,"Children Outside the Business","Child Outside the Business")</f>
        <v>Child Outside the Business</v>
      </c>
      <c r="L4" s="345"/>
      <c r="M4" s="344"/>
      <c r="N4" s="7"/>
    </row>
    <row r="5" spans="1:14" ht="4.5" customHeight="1">
      <c r="C5" s="86"/>
      <c r="D5" s="86"/>
      <c r="H5" s="8"/>
      <c r="I5" s="9"/>
      <c r="J5" s="7"/>
      <c r="K5" s="8"/>
      <c r="L5" s="9"/>
      <c r="M5" s="9"/>
      <c r="N5" s="7"/>
    </row>
    <row r="6" spans="1:14" ht="20.25" customHeight="1">
      <c r="C6" s="311" t="str">
        <f>IF(Input!$D$26=TRUE,"Parent(s)","Parent")</f>
        <v>Parent(s)</v>
      </c>
      <c r="D6" s="195" t="s">
        <v>83</v>
      </c>
      <c r="E6" s="126" t="s">
        <v>27</v>
      </c>
      <c r="F6" s="127" t="s">
        <v>6</v>
      </c>
      <c r="G6" s="125"/>
      <c r="H6" s="310" t="str">
        <f>Input!$L$6</f>
        <v>Sarah</v>
      </c>
      <c r="I6" s="310" t="str">
        <f>IF(Input!$D$32&gt;1,Input!$L$7,"")</f>
        <v/>
      </c>
      <c r="J6" s="11"/>
      <c r="K6" s="310" t="str">
        <f>IF(Input!$D$33-Input!$D$32&gt;=1,IF(Input!$D$32=2,Input!$L$8,Input!$L$7))</f>
        <v>Sam</v>
      </c>
      <c r="L6" s="310" t="str">
        <f>IF(Input!$D$33-Input!$D$32&gt;=2,IF(Input!$D$32=2,Input!$L$9,Input!$L$8),"")</f>
        <v/>
      </c>
      <c r="M6" s="310" t="str">
        <f>IF(Input!$D$33-Input!$D$32&gt;=3,IF(Input!$D$32=2,Input!L10,Input!L9),"")</f>
        <v/>
      </c>
      <c r="N6" s="7"/>
    </row>
    <row r="7" spans="1:14" ht="6" customHeight="1">
      <c r="C7" s="86"/>
      <c r="D7" s="86"/>
      <c r="F7" s="12"/>
      <c r="H7" s="9"/>
      <c r="I7" s="9"/>
      <c r="K7" s="9"/>
      <c r="L7" s="9"/>
      <c r="M7" s="9"/>
    </row>
    <row r="8" spans="1:14" ht="13.5" customHeight="1">
      <c r="B8" s="13" t="s">
        <v>47</v>
      </c>
      <c r="C8" s="107">
        <f ca="1">IF(E4=TRUE,C4,0)+'Current Distribution'!$C$8</f>
        <v>2500000</v>
      </c>
      <c r="D8" s="113"/>
      <c r="E8" s="14" t="b">
        <v>0</v>
      </c>
      <c r="F8" s="51">
        <f ca="1">IF(E8=TRUE,0,IF(C8&gt;$C$24,$C$24,C8))</f>
        <v>0</v>
      </c>
      <c r="G8" s="15"/>
      <c r="H8" s="15" t="str">
        <f>IF(Input!$M$24=TRUE,($C8-$F8)/Input!$D$33,"")</f>
        <v/>
      </c>
      <c r="I8" s="15" t="str">
        <f>IF(Input!$D$32=1,"",IF(Input!$M$24=TRUE,($C8-$F8)/Input!$D$33,""))</f>
        <v/>
      </c>
      <c r="J8" s="15"/>
      <c r="K8" s="105">
        <f ca="1">IF(Input!$M$24=TRUE,($C8-$F8)/Input!$D$33,(($C8-$F8)/(Input!$D$33-Input!$D$32)))</f>
        <v>2500000</v>
      </c>
      <c r="L8" s="105" t="str">
        <f>IF(L$6="","",IF(Input!$M$24=TRUE,($C8-$F8)/Input!$D$33,(($C8-$F8)/(Input!$D$33-Input!$D$32))))</f>
        <v/>
      </c>
      <c r="M8" s="106" t="str">
        <f>IF(M$6="","",IF(Input!$M$24=TRUE,($C8-$F8)/Input!$D$33,(($C8-$F8)/(Input!$D$33-Input!$D$32))))</f>
        <v/>
      </c>
    </row>
    <row r="9" spans="1:14" ht="6" customHeight="1">
      <c r="B9" s="17"/>
      <c r="C9" s="92"/>
      <c r="D9" s="92"/>
      <c r="E9" s="18"/>
      <c r="F9" s="52"/>
      <c r="G9" s="19"/>
      <c r="H9" s="19"/>
      <c r="I9" s="19"/>
      <c r="J9" s="19"/>
      <c r="K9" s="19"/>
      <c r="L9" s="19"/>
      <c r="M9" s="19"/>
    </row>
    <row r="10" spans="1:14" ht="17.25" customHeight="1">
      <c r="A10" s="338" t="s">
        <v>32</v>
      </c>
      <c r="B10" s="117" t="str">
        <f>'Current Distribution'!B10</f>
        <v>Existing Life Insurance in Estate</v>
      </c>
      <c r="C10" s="102">
        <f>'Current Distribution'!$C$10</f>
        <v>0</v>
      </c>
      <c r="D10" s="114"/>
      <c r="E10" s="20" t="b">
        <v>0</v>
      </c>
      <c r="F10" s="53">
        <f ca="1">IF(E10=TRUE, 0,IF($C$24-SUM($F$8:$F9)&gt;0,IF($C$24-SUM($F$8:$F9)&gt;C10,C10,$C$24-SUM($F$8:$F9)),0))</f>
        <v>0</v>
      </c>
      <c r="G10" s="21"/>
      <c r="H10" s="21" t="str">
        <f>IF(Input!$M$25=TRUE,($C10-$F10)/Input!$D$33,"")</f>
        <v/>
      </c>
      <c r="I10" s="21" t="str">
        <f>IF(Input!$D$32=1,"",IF(Input!$M$25=TRUE,($C10-$F10)/Input!$D$33,""))</f>
        <v/>
      </c>
      <c r="J10" s="21"/>
      <c r="K10" s="21">
        <f ca="1">IF(Input!$M$25=TRUE,($C10-$F10)/Input!$D$33,(($C10-$F10)/(Input!$D$33-Input!$D$32)))</f>
        <v>0</v>
      </c>
      <c r="L10" s="21" t="str">
        <f>IF(L$6="","",IF(Input!$M$25=TRUE,($C10-$F10)/Input!$D$33,(($C10-$F10)/(Input!$D$33-Input!$D$32))))</f>
        <v/>
      </c>
      <c r="M10" s="22" t="str">
        <f>IF(M$6="","",IF(Input!$M$25=TRUE,($C10-$F10)/Input!$D$33,(($C10-$F10)/(Input!$D$33-Input!$D$32))))</f>
        <v/>
      </c>
    </row>
    <row r="11" spans="1:14" ht="13.5" customHeight="1">
      <c r="A11" s="339"/>
      <c r="B11" s="101" t="str">
        <f>IF(Input!B8="","",Input!B8)</f>
        <v>Cash Equivalents</v>
      </c>
      <c r="C11" s="103">
        <f>'Current Distribution'!$C11</f>
        <v>50000</v>
      </c>
      <c r="D11" s="115">
        <f>Input!F8</f>
        <v>0.05</v>
      </c>
      <c r="E11" s="23" t="b">
        <v>0</v>
      </c>
      <c r="F11" s="54">
        <f ca="1">IF(E11=TRUE, 0,IF($C$24-SUM($F$8:$F10)&gt;0,IF($C$24-SUM($F$8:$F10)&gt;C11,C11,$C$24-SUM($F$8:$F10)),0))</f>
        <v>0</v>
      </c>
      <c r="G11" s="24"/>
      <c r="H11" s="24" t="str">
        <f>IF(Input!$M$26=TRUE,($C11-$F11)/Input!$D$33,"")</f>
        <v/>
      </c>
      <c r="I11" s="24" t="str">
        <f>IF(Input!$D$32=1,"",IF(Input!$M$26=TRUE,($C11-$F11)/Input!$D$33,""))</f>
        <v/>
      </c>
      <c r="J11" s="24"/>
      <c r="K11" s="24">
        <f ca="1">IF(Input!$M$26=TRUE,($C11-$F11)/Input!$D$33,(($C11-$F11)/(Input!$D$33-Input!$D$32)))</f>
        <v>50000</v>
      </c>
      <c r="L11" s="24" t="str">
        <f>IF(L$6="","",IF(Input!$M$26=TRUE,($C11-$F11)/Input!$D$33,(($C11-$F11)/(Input!$D$33-Input!$D$32))))</f>
        <v/>
      </c>
      <c r="M11" s="25" t="str">
        <f>IF(M$6="","",IF(Input!$M$26=TRUE,($C11-$F11)/Input!$D$33,(($C11-$F11)/(Input!$D$33-Input!$D$32))))</f>
        <v/>
      </c>
    </row>
    <row r="12" spans="1:14" ht="13.5" customHeight="1">
      <c r="A12" s="339"/>
      <c r="B12" s="101" t="str">
        <f>IF(Input!B9="","",Input!B9)</f>
        <v>NQ Investments</v>
      </c>
      <c r="C12" s="103">
        <f>'Current Distribution'!$C12</f>
        <v>600000</v>
      </c>
      <c r="D12" s="115">
        <f>Input!F9</f>
        <v>0.05</v>
      </c>
      <c r="E12" s="23" t="b">
        <v>0</v>
      </c>
      <c r="F12" s="54">
        <f ca="1">IF(E12=TRUE, 0,IF($C$24-SUM($F$8:$F11)&gt;0,IF($C$24-SUM($F$8:$F11)&gt;C12,C12,$C$24-SUM($F$8:$F11)),0))</f>
        <v>0</v>
      </c>
      <c r="G12" s="24"/>
      <c r="H12" s="24" t="str">
        <f>IF(Input!$M$26=TRUE,($C12-$F12)/Input!$D$33,"")</f>
        <v/>
      </c>
      <c r="I12" s="24" t="str">
        <f>IF(Input!$D$32=1,"",IF(Input!$M$26=TRUE,($C12-$F12)/Input!$D$33,""))</f>
        <v/>
      </c>
      <c r="J12" s="24"/>
      <c r="K12" s="24">
        <f ca="1">IF(Input!$M$26=TRUE,($C12-$F12)/Input!$D$33,(($C12-$F12)/(Input!$D$33-Input!$D$32)))</f>
        <v>600000</v>
      </c>
      <c r="L12" s="24" t="str">
        <f>IF(L$6="","",IF(Input!$M$26=TRUE,($C12-$F12)/Input!$D$33,(($C12-$F12)/(Input!$D$33-Input!$D$32))))</f>
        <v/>
      </c>
      <c r="M12" s="25" t="str">
        <f>IF(M$6="","",IF(Input!$M$26=TRUE,($C12-$F12)/Input!$D$33,(($C12-$F12)/(Input!$D$33-Input!$D$32))))</f>
        <v/>
      </c>
    </row>
    <row r="13" spans="1:14" ht="13.5" customHeight="1">
      <c r="A13" s="339"/>
      <c r="B13" s="101" t="str">
        <f>IF(Input!B10="","",Input!B10)</f>
        <v>Residence</v>
      </c>
      <c r="C13" s="103">
        <f>'Current Distribution'!$C13</f>
        <v>850000</v>
      </c>
      <c r="D13" s="115">
        <f>Input!F10</f>
        <v>0.05</v>
      </c>
      <c r="E13" s="23" t="b">
        <v>0</v>
      </c>
      <c r="F13" s="54">
        <f ca="1">IF(E13=TRUE, 0,IF($C$24-SUM($F$8:$F12)&gt;0,IF($C$24-SUM($F$8:$F12)&gt;C13,C13,$C$24-SUM($F$8:$F12)),0))</f>
        <v>0</v>
      </c>
      <c r="G13" s="24"/>
      <c r="H13" s="24" t="str">
        <f>IF(Input!$M$26=TRUE,($C13-$F13)/Input!$D$33,"")</f>
        <v/>
      </c>
      <c r="I13" s="24" t="str">
        <f>IF(Input!$D$32=1,"",IF(Input!$M$26=TRUE,($C13-$F13)/Input!$D$33,""))</f>
        <v/>
      </c>
      <c r="J13" s="24"/>
      <c r="K13" s="24">
        <f ca="1">IF(Input!$M$26=TRUE,($C13-$F13)/Input!$D$33,(($C13-$F13)/(Input!$D$33-Input!$D$32)))</f>
        <v>850000</v>
      </c>
      <c r="L13" s="24" t="str">
        <f>IF(L$6="","",IF(Input!$M$26=TRUE,($C13-$F13)/Input!$D$33,(($C13-$F13)/(Input!$D$33-Input!$D$32))))</f>
        <v/>
      </c>
      <c r="M13" s="25" t="str">
        <f>IF(M$6="","",IF(Input!$M$26=TRUE,($C13-$F13)/Input!$D$33,(($C13-$F13)/(Input!$D$33-Input!$D$32))))</f>
        <v/>
      </c>
    </row>
    <row r="14" spans="1:14" ht="13.5" customHeight="1">
      <c r="A14" s="339"/>
      <c r="B14" s="101" t="str">
        <f>IF(Input!B11="","",Input!B11)</f>
        <v>Rental Real Estate</v>
      </c>
      <c r="C14" s="103">
        <f>'Current Distribution'!$C14</f>
        <v>1000000</v>
      </c>
      <c r="D14" s="115">
        <f>Input!F11</f>
        <v>0.05</v>
      </c>
      <c r="E14" s="23" t="b">
        <v>0</v>
      </c>
      <c r="F14" s="54">
        <f ca="1">IF(E14=TRUE, 0,IF($C$24-SUM($F$8:$F13)&gt;0,IF($C$24-SUM($F$8:$F13)&gt;C14,C14,$C$24-SUM($F$8:$F13)),0))</f>
        <v>0</v>
      </c>
      <c r="G14" s="24"/>
      <c r="H14" s="24" t="str">
        <f>IF(Input!$M$26=TRUE,($C14-$F14)/Input!$D$33,"")</f>
        <v/>
      </c>
      <c r="I14" s="24" t="str">
        <f>IF(Input!$D$32=1,"",IF(Input!$M$26=TRUE,($C14-$F14)/Input!$D$33,""))</f>
        <v/>
      </c>
      <c r="J14" s="24"/>
      <c r="K14" s="24">
        <f ca="1">IF(Input!$M$26=TRUE,($C14-$F14)/Input!$D$33,(($C14-$F14)/(Input!$D$33-Input!$D$32)))</f>
        <v>1000000</v>
      </c>
      <c r="L14" s="24" t="str">
        <f>IF(L$6="","",IF(Input!$M$26=TRUE,($C14-$F14)/Input!$D$33,(($C14-$F14)/(Input!$D$33-Input!$D$32))))</f>
        <v/>
      </c>
      <c r="M14" s="25" t="str">
        <f>IF(M$6="","",IF(Input!$M$26=TRUE,($C14-$F14)/Input!$D$33,(($C14-$F14)/(Input!$D$33-Input!$D$32))))</f>
        <v/>
      </c>
    </row>
    <row r="15" spans="1:14" ht="13.5" customHeight="1">
      <c r="A15" s="339"/>
      <c r="B15" s="101" t="str">
        <f>IF(Input!B12="","",Input!B12)</f>
        <v/>
      </c>
      <c r="C15" s="103">
        <f>'Current Distribution'!$C15</f>
        <v>0</v>
      </c>
      <c r="D15" s="115">
        <f>Input!F12</f>
        <v>0.05</v>
      </c>
      <c r="E15" s="23" t="b">
        <v>0</v>
      </c>
      <c r="F15" s="54">
        <f ca="1">IF(E15=TRUE, 0,IF($C$24-SUM($F$8:$F14)&gt;0,IF($C$24-SUM($F$8:$F14)&gt;C15,C15,$C$24-SUM($F$8:$F14)),0))</f>
        <v>0</v>
      </c>
      <c r="G15" s="24"/>
      <c r="H15" s="24" t="str">
        <f>IF(Input!$M$26=TRUE,($C15-$F15)/Input!$D$33,"")</f>
        <v/>
      </c>
      <c r="I15" s="24" t="str">
        <f>IF(Input!$D$32=1,"",IF(Input!$M$26=TRUE,($C15-$F15)/Input!$D$33,""))</f>
        <v/>
      </c>
      <c r="J15" s="24"/>
      <c r="K15" s="24">
        <f ca="1">IF(Input!$M$26=TRUE,($C15-$F15)/Input!$D$33,(($C15-$F15)/(Input!$D$33-Input!$D$32)))</f>
        <v>0</v>
      </c>
      <c r="L15" s="24" t="str">
        <f>IF(L$6="","",IF(Input!$M$26=TRUE,($C15-$F15)/Input!$D$33,(($C15-$F15)/(Input!$D$33-Input!$D$32))))</f>
        <v/>
      </c>
      <c r="M15" s="25" t="str">
        <f>IF(M$6="","",IF(Input!$M$26=TRUE,($C15-$F15)/Input!$D$33,(($C15-$F15)/(Input!$D$33-Input!$D$32))))</f>
        <v/>
      </c>
    </row>
    <row r="16" spans="1:14" ht="13.5" customHeight="1">
      <c r="A16" s="339"/>
      <c r="B16" s="101" t="str">
        <f>IF(Input!B13="","",Input!B13)</f>
        <v/>
      </c>
      <c r="C16" s="103">
        <f>'Current Distribution'!$C16</f>
        <v>0</v>
      </c>
      <c r="D16" s="115">
        <f>Input!F13</f>
        <v>0.05</v>
      </c>
      <c r="E16" s="23" t="b">
        <v>0</v>
      </c>
      <c r="F16" s="54">
        <f ca="1">IF(E16=TRUE, 0,IF($C$24-SUM($F$8:$F15)&gt;0,IF($C$24-SUM($F$8:$F15)&gt;C16,C16,$C$24-SUM($F$8:$F15)),0))</f>
        <v>0</v>
      </c>
      <c r="G16" s="24"/>
      <c r="H16" s="24" t="str">
        <f>IF(Input!$M$26=TRUE,($C16-$F16)/Input!$D$33,"")</f>
        <v/>
      </c>
      <c r="I16" s="24" t="str">
        <f>IF(Input!$D$32=1,"",IF(Input!$M$26=TRUE,($C16-$F16)/Input!$D$33,""))</f>
        <v/>
      </c>
      <c r="J16" s="24"/>
      <c r="K16" s="24">
        <f ca="1">IF(Input!$M$26=TRUE,($C16-$F16)/Input!$D$33,(($C16-$F16)/(Input!$D$33-Input!$D$32)))</f>
        <v>0</v>
      </c>
      <c r="L16" s="24" t="str">
        <f>IF(L$6="","",IF(Input!$M$26=TRUE,($C16-$F16)/Input!$D$33,(($C16-$F16)/(Input!$D$33-Input!$D$32))))</f>
        <v/>
      </c>
      <c r="M16" s="25" t="str">
        <f>IF(M$6="","",IF(Input!$M$26=TRUE,($C16-$F16)/Input!$D$33,(($C16-$F16)/(Input!$D$33-Input!$D$32))))</f>
        <v/>
      </c>
    </row>
    <row r="17" spans="1:259" ht="13.5" customHeight="1">
      <c r="A17" s="339"/>
      <c r="B17" s="101" t="str">
        <f>IF(Input!B14="","",Input!B14)</f>
        <v/>
      </c>
      <c r="C17" s="103">
        <f>'Current Distribution'!$C17</f>
        <v>0</v>
      </c>
      <c r="D17" s="115">
        <f>Input!F14</f>
        <v>0.05</v>
      </c>
      <c r="E17" s="23" t="b">
        <v>0</v>
      </c>
      <c r="F17" s="54">
        <f ca="1">IF(E17=TRUE, 0,IF($C$24-SUM($F$8:$F16)&gt;0,IF($C$24-SUM($F$8:$F16)&gt;C17,C17,$C$24-SUM($F$8:$F16)),0))</f>
        <v>0</v>
      </c>
      <c r="G17" s="24"/>
      <c r="H17" s="24" t="str">
        <f>IF(Input!$M$26=TRUE,($C17-$F17)/Input!$D$33,"")</f>
        <v/>
      </c>
      <c r="I17" s="24" t="str">
        <f>IF(Input!$D$32=1,"",IF(Input!$M$26=TRUE,($C17-$F17)/Input!$D$33,""))</f>
        <v/>
      </c>
      <c r="J17" s="24"/>
      <c r="K17" s="24">
        <f ca="1">IF(Input!$M$26=TRUE,($C17-$F17)/Input!$D$33,(($C17-$F17)/(Input!$D$33-Input!$D$32)))</f>
        <v>0</v>
      </c>
      <c r="L17" s="24" t="str">
        <f>IF(L$6="","",IF(Input!$M$26=TRUE,($C17-$F17)/Input!$D$33,(($C17-$F17)/(Input!$D$33-Input!$D$32))))</f>
        <v/>
      </c>
      <c r="M17" s="25" t="str">
        <f>IF(M$6="","",IF(Input!$M$26=TRUE,($C17-$F17)/Input!$D$33,(($C17-$F17)/(Input!$D$33-Input!$D$32))))</f>
        <v/>
      </c>
    </row>
    <row r="18" spans="1:259" ht="13.5" customHeight="1">
      <c r="A18" s="339"/>
      <c r="B18" s="101" t="str">
        <f>IF(Input!B15="","",Input!B15)</f>
        <v/>
      </c>
      <c r="C18" s="103">
        <f>'Current Distribution'!$C18</f>
        <v>0</v>
      </c>
      <c r="D18" s="115">
        <f>Input!F15</f>
        <v>0.05</v>
      </c>
      <c r="E18" s="23" t="b">
        <v>0</v>
      </c>
      <c r="F18" s="54">
        <f ca="1">IF(E18=TRUE, 0,IF($C$24-SUM($F$8:$F17)&gt;0,IF($C$24-SUM($F$8:$F17)&gt;C18,C18,$C$24-SUM($F$8:$F17)),0))</f>
        <v>0</v>
      </c>
      <c r="G18" s="24"/>
      <c r="H18" s="96" t="str">
        <f>IF(Input!$A$15=TRUE,($C$18-$F$18)/Input!$D$32,IF(Input!$M$26=TRUE,($C18-$F18)/Input!$D$33,""))</f>
        <v/>
      </c>
      <c r="I18" s="96" t="str">
        <f>IF(Input!$A$15=TRUE,IF(Input!$D$32=1,"",($C$18-$F$18)/Input!$D$32),IF(Input!$D$32=1,"",IF(Input!$M$26=TRUE,($C18-$F18)/Input!$D$33,"")))</f>
        <v/>
      </c>
      <c r="J18" s="24"/>
      <c r="K18" s="96">
        <f ca="1">IF(Input!$A$15=TRUE,IF(K$6="N/A","","N/A"),IF(K$6="","",($C18-$F18)/(Input!$D$33-IF(Input!$A$15=TRUE,Input!$D$32,0))))</f>
        <v>0</v>
      </c>
      <c r="L18" s="96" t="str">
        <f>IF(Input!$A$15=TRUE,IF(L$6="","","N/A"),IF(L$6="","",($C18-$F18)/(Input!$D$33-IF(Input!$A$15=TRUE,Input!$D$32,0))))</f>
        <v/>
      </c>
      <c r="M18" s="97" t="str">
        <f>IF(Input!$A$15=TRUE,IF(M$6="","","N/A"),IF(M$6="","",($C18-$F18)/(Input!$D$33-IF(Input!$A$15=TRUE,Input!$D$32,0))))</f>
        <v/>
      </c>
    </row>
    <row r="19" spans="1:259" ht="15" customHeight="1">
      <c r="A19" s="340"/>
      <c r="B19" s="118" t="str">
        <f>IF(Input!B16="","",Input!B16)</f>
        <v>Family Business (S Corp)</v>
      </c>
      <c r="C19" s="104">
        <f>'Current Distribution'!$C19</f>
        <v>5000000</v>
      </c>
      <c r="D19" s="116">
        <f>Input!F16</f>
        <v>0.05</v>
      </c>
      <c r="E19" s="94" t="b">
        <v>1</v>
      </c>
      <c r="F19" s="55">
        <f>IF(E19=TRUE, 0,IF($C$24-SUM($F$8:$F18)&gt;0,IF($C$24-SUM($F$8:$F18)&gt;C19,C19,$C$24-SUM($F$8:$F18)),0))</f>
        <v>0</v>
      </c>
      <c r="G19" s="26"/>
      <c r="H19" s="26">
        <f>IF(Input!$A$16=TRUE,($C$19-$F$19)/Input!$D$32,IF(Input!$M$26=TRUE,($C19-$F19)/Input!$D$33,""))</f>
        <v>5000000</v>
      </c>
      <c r="I19" s="26" t="str">
        <f>IF(Input!$A$16=TRUE,IF(Input!$D$32=1,"",($C$19-$F$19)/Input!$D$32),IF(Input!$D$32=1,"",IF(Input!$M$26=TRUE,($C19-$F19)/Input!$D$33,"")))</f>
        <v/>
      </c>
      <c r="J19" s="233"/>
      <c r="K19" s="26" t="str">
        <f>IF(Input!$A$16=TRUE,IF(K$6="N/A","","N/A"),IF(K$6="","",($C19-$F19)/(Input!$D$33-IF(Input!$A$15=TRUE,Input!$D$32,0))))</f>
        <v>N/A</v>
      </c>
      <c r="L19" s="26" t="str">
        <f>IF(Input!$A$16=TRUE,IF(L$6="","","N/A"),IF(L$6="","",($C19-$F19)/(Input!$D$33-IF(Input!$A$15=TRUE,Input!$D$32,0))))</f>
        <v/>
      </c>
      <c r="M19" s="234" t="str">
        <f>IF(Input!$A$16=TRUE,IF(M$6="","","N/A"),IF(M$6="","",($C19-$F19)/(Input!$D$33-IF(Input!$A$15=TRUE,Input!$D$32,0))))</f>
        <v/>
      </c>
    </row>
    <row r="20" spans="1:259" ht="15" customHeight="1">
      <c r="A20" s="231"/>
      <c r="B20" s="236"/>
      <c r="C20" s="103"/>
      <c r="D20" s="115"/>
      <c r="E20" s="232"/>
      <c r="F20" s="361" t="s">
        <v>142</v>
      </c>
      <c r="G20" s="308"/>
      <c r="H20" s="304" t="str">
        <f>IF(Options!$I$9=TRUE,Options!$L$9/Input!$D$32,"")</f>
        <v/>
      </c>
      <c r="I20" s="304" t="str">
        <f>IF(Options!$I$9=TRUE,IF(Input!$D$32=2,Options!$L$9/Input!$D$32,""),"")</f>
        <v/>
      </c>
      <c r="J20" s="305"/>
      <c r="K20" s="304"/>
      <c r="L20" s="304"/>
      <c r="M20" s="304"/>
    </row>
    <row r="21" spans="1:259" ht="18.75" customHeight="1">
      <c r="B21" s="4" t="s">
        <v>4</v>
      </c>
      <c r="C21" s="27">
        <f>SUM(C10:C19)</f>
        <v>7500000</v>
      </c>
      <c r="F21" s="362"/>
      <c r="G21" s="309"/>
      <c r="H21" s="304" t="str">
        <f>IF(Options!$I$9=TRUE,-Options!$L$9/Input!$D$32,"")</f>
        <v/>
      </c>
      <c r="I21" s="304" t="str">
        <f>IF(Options!$I$9=TRUE,IF(Input!$D$32=2,-Options!$L$9/Input!$D$32,""),"")</f>
        <v/>
      </c>
      <c r="J21" s="306"/>
      <c r="K21" s="307" t="str">
        <f>IF(Options!$I$9=TRUE,IF(Options!$I$9=TRUE,IF(Input!$M$27=TRUE,Options!$M$3,Options!$N$3),0)+Options!$J$13,"")</f>
        <v/>
      </c>
      <c r="L21" s="307" t="str">
        <f>IF(Options!I9=FALSE,"",IF(L6="","",IF(Options!$I$6=TRUE,IF(Input!$M$27=TRUE,Options!$M$3,Options!$N$3),0)+IF(Tables!$E$2=TRUE,IF(Input!$M$27=TRUE,Options!$M$3,Options!$N$3),0)+IF(Options!$I$9=TRUE,IF(Input!$M$27=TRUE,Options!$M$3,Options!$N$3),0)+Options!$J$13))</f>
        <v/>
      </c>
      <c r="M21" s="307" t="str">
        <f>IF(Options!I9=FALSE,"",IF(M6="","",IF(Options!$I$6=TRUE,IF(Input!$M$27=TRUE,Options!$M$3,Options!$N$3),0)+IF(Tables!$E$2=TRUE,IF(Input!$M$27=TRUE,Options!$M$3,Options!$N$3),0)+IF(Options!$I$9=TRUE,IF(Input!$M$27=TRUE,Options!$M$3,Options!$N$3),0)+Options!$J$13))</f>
        <v/>
      </c>
    </row>
    <row r="22" spans="1:259" ht="15.75" customHeight="1">
      <c r="B22" s="4" t="s">
        <v>82</v>
      </c>
      <c r="C22" s="28">
        <f>IF(Input!$D$26=TRUE,IF(C21&gt;=Tables!$A$10,-Tables!$A$10,-C21),0)</f>
        <v>-3500000</v>
      </c>
      <c r="D22" s="27"/>
      <c r="E22" s="360" t="s">
        <v>87</v>
      </c>
      <c r="F22" s="360"/>
      <c r="G22" s="360"/>
      <c r="H22" s="360"/>
      <c r="I22" s="360"/>
      <c r="J22" s="360"/>
      <c r="K22" s="360"/>
      <c r="L22" s="360"/>
      <c r="M22" s="360"/>
    </row>
    <row r="23" spans="1:259" ht="15.75" customHeight="1">
      <c r="B23" s="4" t="s">
        <v>3</v>
      </c>
      <c r="C23" s="29">
        <f>C21+C22</f>
        <v>4000000</v>
      </c>
      <c r="D23" s="29"/>
      <c r="E23" s="360"/>
      <c r="F23" s="360"/>
      <c r="G23" s="360"/>
      <c r="H23" s="360"/>
      <c r="I23" s="360"/>
      <c r="J23" s="360"/>
      <c r="K23" s="360"/>
      <c r="L23" s="360"/>
      <c r="M23" s="360"/>
    </row>
    <row r="24" spans="1:259" ht="14.25" customHeight="1">
      <c r="B24" s="4" t="s">
        <v>5</v>
      </c>
      <c r="C24" s="57">
        <f ca="1">Tables!$B$40</f>
        <v>0</v>
      </c>
      <c r="D24" s="112"/>
      <c r="E24" s="29"/>
      <c r="F24" s="56">
        <f ca="1">C24-SUM(F8:F19)</f>
        <v>0</v>
      </c>
      <c r="G24" s="29"/>
      <c r="H24" s="30">
        <f ca="1">-$F$24/Input!$D$32</f>
        <v>0</v>
      </c>
      <c r="I24" s="29" t="str">
        <f>IF(Input!$D$32=1,"",$F$24/Input!$D$32)</f>
        <v/>
      </c>
      <c r="J24" s="29"/>
      <c r="K24" s="29"/>
      <c r="L24" s="29"/>
      <c r="M24" s="29"/>
    </row>
    <row r="25" spans="1:259" ht="15.75" customHeight="1" thickBot="1">
      <c r="B25" s="4" t="s">
        <v>22</v>
      </c>
      <c r="C25" s="29"/>
      <c r="D25" s="29"/>
      <c r="E25" s="29"/>
      <c r="F25" s="58">
        <f ca="1">SUM(F8:F24)</f>
        <v>0</v>
      </c>
      <c r="G25" s="31"/>
      <c r="H25" s="32">
        <f ca="1">SUM(H8:H24)</f>
        <v>5000000</v>
      </c>
      <c r="I25" s="32" t="str">
        <f>IF(I6="","",SUM(I8:I24))</f>
        <v/>
      </c>
      <c r="J25" s="31"/>
      <c r="K25" s="32">
        <f ca="1">SUM(K8:K24)</f>
        <v>5000000</v>
      </c>
      <c r="L25" s="32" t="str">
        <f>IF(L6="","",SUM(L8:L24))</f>
        <v/>
      </c>
      <c r="M25" s="32" t="str">
        <f>IF(M6="","",SUM(M8:M24))</f>
        <v/>
      </c>
    </row>
    <row r="26" spans="1:259" s="37" customFormat="1" ht="14.25" customHeight="1" thickTop="1">
      <c r="B26" s="4" t="s">
        <v>9</v>
      </c>
      <c r="C26" s="33"/>
      <c r="D26" s="33"/>
      <c r="E26" s="33"/>
      <c r="F26" s="59">
        <f ca="1">F25/$C$21</f>
        <v>0</v>
      </c>
      <c r="G26" s="34"/>
      <c r="H26" s="35">
        <f ca="1">H25/$C$21</f>
        <v>0.66666666666666663</v>
      </c>
      <c r="I26" s="35" t="str">
        <f>IF(I6="","",I25/$C$21)</f>
        <v/>
      </c>
      <c r="J26" s="34"/>
      <c r="K26" s="35">
        <f ca="1">IF(K6="","",K25/$C$21)</f>
        <v>0.66666666666666663</v>
      </c>
      <c r="L26" s="35" t="str">
        <f>IF(L6="","",L25/$C$21)</f>
        <v/>
      </c>
      <c r="M26" s="35" t="str">
        <f>IF(M6="","",M25/$C$21)</f>
        <v/>
      </c>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c r="IW26" s="36"/>
      <c r="IX26" s="36"/>
      <c r="IY26" s="36"/>
    </row>
    <row r="27" spans="1:259" ht="24.75" customHeight="1">
      <c r="A27" s="60" t="s">
        <v>41</v>
      </c>
      <c r="C27" s="60"/>
      <c r="D27" s="60"/>
      <c r="E27" s="60"/>
      <c r="F27" s="60"/>
      <c r="G27" s="60"/>
      <c r="H27" s="60"/>
      <c r="I27" s="60"/>
      <c r="J27" s="60"/>
      <c r="K27" s="60"/>
      <c r="L27" s="60"/>
      <c r="M27" s="60"/>
    </row>
    <row r="28" spans="1:259" ht="55.5" customHeight="1">
      <c r="A28" s="358" t="s">
        <v>24</v>
      </c>
      <c r="B28" s="358"/>
      <c r="C28" s="358"/>
      <c r="D28" s="358"/>
      <c r="E28" s="358"/>
      <c r="F28" s="358"/>
      <c r="G28" s="358"/>
      <c r="H28" s="358"/>
      <c r="I28" s="358"/>
      <c r="J28" s="358"/>
      <c r="K28" s="358"/>
      <c r="L28" s="358"/>
      <c r="M28" s="358"/>
    </row>
    <row r="29" spans="1:259" ht="14.25" customHeight="1">
      <c r="A29" s="128" t="s">
        <v>98</v>
      </c>
      <c r="C29" s="99"/>
      <c r="D29" s="99"/>
      <c r="F29" s="84"/>
      <c r="G29" s="84"/>
      <c r="H29" s="84"/>
      <c r="I29" s="84"/>
      <c r="J29" s="84"/>
      <c r="K29" s="84"/>
      <c r="L29" s="84"/>
      <c r="M29" s="84"/>
    </row>
  </sheetData>
  <sheetProtection password="D977" sheet="1" objects="1" scenarios="1" selectLockedCells="1"/>
  <mergeCells count="9">
    <mergeCell ref="A28:M28"/>
    <mergeCell ref="A1:M1"/>
    <mergeCell ref="A2:M2"/>
    <mergeCell ref="H4:I4"/>
    <mergeCell ref="K4:M4"/>
    <mergeCell ref="A10:A19"/>
    <mergeCell ref="B3:N3"/>
    <mergeCell ref="E22:M23"/>
    <mergeCell ref="F20:F21"/>
  </mergeCells>
  <printOptions horizontalCentered="1"/>
  <pageMargins left="0.5" right="0.5" top="0.5" bottom="0.5" header="0" footer="0"/>
  <pageSetup orientation="landscape" r:id="rId1"/>
  <headerFooter alignWithMargins="0"/>
  <ignoredErrors>
    <ignoredError sqref="C11:C19" unlockedFormula="1"/>
  </ignoredErrors>
  <drawing r:id="rId2"/>
  <legacyDrawing r:id="rId3"/>
</worksheet>
</file>

<file path=xl/worksheets/sheet6.xml><?xml version="1.0" encoding="utf-8"?>
<worksheet xmlns="http://schemas.openxmlformats.org/spreadsheetml/2006/main" xmlns:r="http://schemas.openxmlformats.org/officeDocument/2006/relationships">
  <dimension ref="A1:L46"/>
  <sheetViews>
    <sheetView topLeftCell="A22" workbookViewId="0">
      <selection activeCell="H25" sqref="H25"/>
    </sheetView>
  </sheetViews>
  <sheetFormatPr defaultRowHeight="12.75"/>
  <cols>
    <col min="1" max="1" width="10.33203125" style="244" customWidth="1"/>
    <col min="2" max="2" width="9.44140625" style="244" customWidth="1"/>
    <col min="3" max="3" width="5.21875" style="244" customWidth="1"/>
    <col min="4" max="4" width="5" style="244" customWidth="1"/>
    <col min="5" max="16384" width="8.88671875" style="244"/>
  </cols>
  <sheetData>
    <row r="1" spans="1:6" ht="16.5" customHeight="1">
      <c r="A1" s="242">
        <f>Input!$M$28</f>
        <v>2012</v>
      </c>
      <c r="B1" s="243">
        <v>41334</v>
      </c>
      <c r="E1" s="229" t="b">
        <v>0</v>
      </c>
      <c r="F1" s="244" t="s">
        <v>121</v>
      </c>
    </row>
    <row r="2" spans="1:6">
      <c r="A2" s="245">
        <f>Input!$D$19</f>
        <v>7500000</v>
      </c>
      <c r="B2" s="244" t="s">
        <v>66</v>
      </c>
      <c r="E2" s="230" t="b">
        <v>0</v>
      </c>
      <c r="F2" s="244" t="s">
        <v>122</v>
      </c>
    </row>
    <row r="3" spans="1:6">
      <c r="A3" s="246">
        <f>Input!$D$28</f>
        <v>0.05</v>
      </c>
      <c r="B3" s="247" t="s">
        <v>53</v>
      </c>
      <c r="C3" s="247"/>
    </row>
    <row r="4" spans="1:6">
      <c r="A4" s="242">
        <f>Input!$D$27</f>
        <v>0</v>
      </c>
      <c r="B4" s="248" t="s">
        <v>67</v>
      </c>
      <c r="C4" s="247"/>
    </row>
    <row r="5" spans="1:6">
      <c r="A5" s="249">
        <f>Input!$H$19-IF('Current Distribution'!$D$5=TRUE,Input!$H$7,0)</f>
        <v>7500000</v>
      </c>
      <c r="B5" s="366" t="s">
        <v>84</v>
      </c>
      <c r="C5" s="367"/>
      <c r="D5" s="367"/>
      <c r="E5" s="244">
        <v>2011</v>
      </c>
      <c r="F5" s="244">
        <v>5000000</v>
      </c>
    </row>
    <row r="6" spans="1:6">
      <c r="A6" s="250">
        <f>Input!$D$31</f>
        <v>0.45</v>
      </c>
      <c r="B6" s="247" t="s">
        <v>68</v>
      </c>
      <c r="C6" s="247"/>
      <c r="D6" s="247"/>
      <c r="E6" s="244">
        <v>2012</v>
      </c>
      <c r="F6" s="244">
        <f>F5*(1+A9)^1</f>
        <v>5150000</v>
      </c>
    </row>
    <row r="7" spans="1:6">
      <c r="A7" s="251"/>
      <c r="B7" s="247" t="s">
        <v>69</v>
      </c>
      <c r="C7" s="247"/>
      <c r="D7" s="247"/>
    </row>
    <row r="8" spans="1:6">
      <c r="A8" s="111">
        <f>Input!$D$29</f>
        <v>3500000</v>
      </c>
      <c r="B8" s="368" t="s">
        <v>70</v>
      </c>
      <c r="C8" s="369"/>
      <c r="D8" s="369"/>
    </row>
    <row r="9" spans="1:6">
      <c r="A9" s="252">
        <f>Input!$D$30</f>
        <v>0.03</v>
      </c>
      <c r="B9" s="253" t="s">
        <v>71</v>
      </c>
      <c r="C9" s="254"/>
      <c r="D9" s="254"/>
    </row>
    <row r="10" spans="1:6">
      <c r="A10" s="255">
        <f>ROUND($A$8*(1+$A$9)^($A$4),-4)</f>
        <v>3500000</v>
      </c>
      <c r="B10" s="370"/>
      <c r="C10" s="370"/>
      <c r="D10" s="370"/>
    </row>
    <row r="11" spans="1:6">
      <c r="A11" s="247"/>
      <c r="B11" s="256"/>
      <c r="C11" s="256"/>
      <c r="D11" s="256"/>
    </row>
    <row r="12" spans="1:6">
      <c r="A12" s="371" t="s">
        <v>72</v>
      </c>
      <c r="B12" s="372"/>
      <c r="C12" s="372"/>
      <c r="D12" s="373"/>
    </row>
    <row r="13" spans="1:6">
      <c r="A13" s="257">
        <v>0</v>
      </c>
      <c r="B13" s="258">
        <v>0</v>
      </c>
      <c r="C13" s="259">
        <v>0.18</v>
      </c>
      <c r="D13" s="260">
        <f t="shared" ref="D13:D31" si="0">IF(C13&lt;$A$6,C13,$A$6)</f>
        <v>0.18</v>
      </c>
    </row>
    <row r="14" spans="1:6">
      <c r="A14" s="261">
        <v>10000</v>
      </c>
      <c r="B14" s="262">
        <f>A14*D13</f>
        <v>1800</v>
      </c>
      <c r="C14" s="259">
        <v>0.2</v>
      </c>
      <c r="D14" s="260">
        <f t="shared" si="0"/>
        <v>0.2</v>
      </c>
    </row>
    <row r="15" spans="1:6">
      <c r="A15" s="261">
        <v>20000</v>
      </c>
      <c r="B15" s="262">
        <f t="shared" ref="B15:B31" si="1">((A15-A14)*D14)+B14</f>
        <v>3800</v>
      </c>
      <c r="C15" s="259">
        <v>0.22</v>
      </c>
      <c r="D15" s="260">
        <f t="shared" si="0"/>
        <v>0.22</v>
      </c>
    </row>
    <row r="16" spans="1:6" ht="11.25" customHeight="1">
      <c r="A16" s="261">
        <v>40000</v>
      </c>
      <c r="B16" s="262">
        <f t="shared" si="1"/>
        <v>8200</v>
      </c>
      <c r="C16" s="259">
        <v>0.24</v>
      </c>
      <c r="D16" s="260">
        <f t="shared" si="0"/>
        <v>0.24</v>
      </c>
    </row>
    <row r="17" spans="1:4" ht="11.25" customHeight="1">
      <c r="A17" s="261">
        <v>60000</v>
      </c>
      <c r="B17" s="262">
        <f t="shared" si="1"/>
        <v>13000</v>
      </c>
      <c r="C17" s="259">
        <v>0.26</v>
      </c>
      <c r="D17" s="260">
        <f t="shared" si="0"/>
        <v>0.26</v>
      </c>
    </row>
    <row r="18" spans="1:4" ht="11.25" customHeight="1">
      <c r="A18" s="261">
        <v>80000</v>
      </c>
      <c r="B18" s="262">
        <f t="shared" si="1"/>
        <v>18200</v>
      </c>
      <c r="C18" s="259">
        <v>0.28000000000000003</v>
      </c>
      <c r="D18" s="260">
        <f t="shared" si="0"/>
        <v>0.28000000000000003</v>
      </c>
    </row>
    <row r="19" spans="1:4" ht="11.25" customHeight="1">
      <c r="A19" s="261">
        <v>100000</v>
      </c>
      <c r="B19" s="262">
        <f t="shared" si="1"/>
        <v>23800</v>
      </c>
      <c r="C19" s="259">
        <v>0.3</v>
      </c>
      <c r="D19" s="260">
        <f t="shared" si="0"/>
        <v>0.3</v>
      </c>
    </row>
    <row r="20" spans="1:4" ht="11.25" customHeight="1">
      <c r="A20" s="261">
        <v>150000</v>
      </c>
      <c r="B20" s="262">
        <f t="shared" si="1"/>
        <v>38800</v>
      </c>
      <c r="C20" s="259">
        <v>0.32</v>
      </c>
      <c r="D20" s="260">
        <f t="shared" si="0"/>
        <v>0.32</v>
      </c>
    </row>
    <row r="21" spans="1:4" ht="11.25" customHeight="1">
      <c r="A21" s="261">
        <v>250000</v>
      </c>
      <c r="B21" s="262">
        <f t="shared" si="1"/>
        <v>70800</v>
      </c>
      <c r="C21" s="259">
        <v>0.34</v>
      </c>
      <c r="D21" s="260">
        <f t="shared" si="0"/>
        <v>0.34</v>
      </c>
    </row>
    <row r="22" spans="1:4" ht="11.25" customHeight="1">
      <c r="A22" s="261">
        <v>500000</v>
      </c>
      <c r="B22" s="262">
        <f t="shared" si="1"/>
        <v>155800</v>
      </c>
      <c r="C22" s="259">
        <v>0.37</v>
      </c>
      <c r="D22" s="260">
        <f t="shared" si="0"/>
        <v>0.37</v>
      </c>
    </row>
    <row r="23" spans="1:4" ht="11.25" customHeight="1">
      <c r="A23" s="261">
        <v>750000</v>
      </c>
      <c r="B23" s="262">
        <f t="shared" si="1"/>
        <v>248300</v>
      </c>
      <c r="C23" s="259">
        <v>0.39</v>
      </c>
      <c r="D23" s="260">
        <f t="shared" si="0"/>
        <v>0.39</v>
      </c>
    </row>
    <row r="24" spans="1:4" ht="11.25" customHeight="1">
      <c r="A24" s="261">
        <v>1000000</v>
      </c>
      <c r="B24" s="262">
        <f t="shared" si="1"/>
        <v>345800</v>
      </c>
      <c r="C24" s="259">
        <v>0.41</v>
      </c>
      <c r="D24" s="260">
        <f t="shared" si="0"/>
        <v>0.41</v>
      </c>
    </row>
    <row r="25" spans="1:4" ht="11.25" customHeight="1">
      <c r="A25" s="261">
        <v>1250000</v>
      </c>
      <c r="B25" s="262">
        <f t="shared" si="1"/>
        <v>448300</v>
      </c>
      <c r="C25" s="259">
        <v>0.43</v>
      </c>
      <c r="D25" s="260">
        <f t="shared" si="0"/>
        <v>0.43</v>
      </c>
    </row>
    <row r="26" spans="1:4" ht="11.25" customHeight="1">
      <c r="A26" s="261">
        <v>1500000</v>
      </c>
      <c r="B26" s="262">
        <f t="shared" si="1"/>
        <v>555800</v>
      </c>
      <c r="C26" s="259">
        <v>0.45</v>
      </c>
      <c r="D26" s="260">
        <f t="shared" si="0"/>
        <v>0.45</v>
      </c>
    </row>
    <row r="27" spans="1:4" ht="11.25" customHeight="1">
      <c r="A27" s="261">
        <v>2000000</v>
      </c>
      <c r="B27" s="262">
        <f t="shared" si="1"/>
        <v>780800</v>
      </c>
      <c r="C27" s="259">
        <v>0.49</v>
      </c>
      <c r="D27" s="260">
        <f t="shared" si="0"/>
        <v>0.45</v>
      </c>
    </row>
    <row r="28" spans="1:4" ht="11.25" customHeight="1">
      <c r="A28" s="261">
        <v>2500000</v>
      </c>
      <c r="B28" s="262">
        <f t="shared" si="1"/>
        <v>1005800</v>
      </c>
      <c r="C28" s="259">
        <v>0.53</v>
      </c>
      <c r="D28" s="260">
        <f t="shared" si="0"/>
        <v>0.45</v>
      </c>
    </row>
    <row r="29" spans="1:4" ht="11.25" customHeight="1">
      <c r="A29" s="261">
        <v>3000000</v>
      </c>
      <c r="B29" s="262">
        <f t="shared" si="1"/>
        <v>1230800</v>
      </c>
      <c r="C29" s="259">
        <v>0.55000000000000004</v>
      </c>
      <c r="D29" s="260">
        <f t="shared" si="0"/>
        <v>0.45</v>
      </c>
    </row>
    <row r="30" spans="1:4" ht="11.25" customHeight="1">
      <c r="A30" s="261">
        <v>10000000</v>
      </c>
      <c r="B30" s="262">
        <f t="shared" si="1"/>
        <v>4380800</v>
      </c>
      <c r="C30" s="259">
        <v>0.6</v>
      </c>
      <c r="D30" s="260">
        <f t="shared" si="0"/>
        <v>0.45</v>
      </c>
    </row>
    <row r="31" spans="1:4" ht="11.25" customHeight="1">
      <c r="A31" s="263">
        <v>17184000</v>
      </c>
      <c r="B31" s="264">
        <f t="shared" si="1"/>
        <v>7613600</v>
      </c>
      <c r="C31" s="265">
        <v>0.55000000000000004</v>
      </c>
      <c r="D31" s="266">
        <f t="shared" si="0"/>
        <v>0.45</v>
      </c>
    </row>
    <row r="33" spans="1:12">
      <c r="A33" s="371" t="s">
        <v>73</v>
      </c>
      <c r="B33" s="372"/>
      <c r="C33" s="372"/>
      <c r="D33" s="373"/>
    </row>
    <row r="34" spans="1:12">
      <c r="A34" s="267" t="s">
        <v>74</v>
      </c>
      <c r="B34" s="268">
        <f>$A$1+$A$4</f>
        <v>2012</v>
      </c>
      <c r="C34" s="269"/>
      <c r="D34" s="270" t="s">
        <v>75</v>
      </c>
    </row>
    <row r="35" spans="1:12">
      <c r="A35" s="271" t="str">
        <f>" Estate in "&amp;$A$4&amp;" Yrs"</f>
        <v xml:space="preserve"> Estate in 0 Yrs</v>
      </c>
      <c r="B35" s="272">
        <f>$A$5</f>
        <v>7500000</v>
      </c>
      <c r="C35" s="273"/>
      <c r="D35" s="274">
        <f>$A$3</f>
        <v>0.05</v>
      </c>
    </row>
    <row r="36" spans="1:12">
      <c r="A36" s="271" t="s">
        <v>76</v>
      </c>
      <c r="B36" s="275">
        <f>IF(B34=2011,F5,IF(B34=2012,F6,IF(B35&lt;A10,B35,A10)))</f>
        <v>5150000</v>
      </c>
      <c r="C36" s="273"/>
      <c r="D36" s="274">
        <f>$A$9</f>
        <v>0.03</v>
      </c>
    </row>
    <row r="37" spans="1:12">
      <c r="A37" s="271" t="str">
        <f>IF($A$7=TRUE," Spouse's Estate"," Taxable Estate")</f>
        <v xml:space="preserve"> Taxable Estate</v>
      </c>
      <c r="B37" s="272">
        <f>IF(IF(Input!$D$26=TRUE,B35-B36,B35)&lt;0,0,IF(Input!$D$26=TRUE,B35-B36,B35))</f>
        <v>2350000</v>
      </c>
      <c r="C37" s="273"/>
      <c r="D37" s="276" t="s">
        <v>77</v>
      </c>
    </row>
    <row r="38" spans="1:12">
      <c r="A38" s="271" t="s">
        <v>78</v>
      </c>
      <c r="B38" s="277">
        <f ca="1">IF(NOW()&gt;$B$1,"Expired",IF(B37=0,0,VLOOKUP(IF(Input!$D$26=TRUE,$A$5-$B$36,$A$5),ETable,2)+(IF(Input!$D$26=TRUE,$A$5-$B$36,$A$5)-VLOOKUP(IF(Input!$D$26=TRUE,$A$5-$B$36,$A$5),ETable,1))*VLOOKUP(IF(Input!$D$26=TRUE,$A$5-$B$36,$A$5),ETable,4)))</f>
        <v>938300</v>
      </c>
      <c r="C38" s="273"/>
      <c r="D38" s="274">
        <f ca="1">IF(B37=0,0,B38/B37)</f>
        <v>0.39927659574468083</v>
      </c>
    </row>
    <row r="39" spans="1:12">
      <c r="A39" s="271" t="s">
        <v>79</v>
      </c>
      <c r="B39" s="277">
        <f>VLOOKUP(B36,ETable,2)+(B36-VLOOKUP(B36,ETable,1))*VLOOKUP(B36,ETable,4)</f>
        <v>2198300</v>
      </c>
      <c r="C39" s="273"/>
      <c r="D39" s="278"/>
    </row>
    <row r="40" spans="1:12" ht="13.5" thickBot="1">
      <c r="A40" s="271" t="s">
        <v>80</v>
      </c>
      <c r="B40" s="279">
        <f ca="1">IF(NOW()&gt;$B$1,"Expired",IF(B38-B39&lt;0,0,B38-B39))</f>
        <v>0</v>
      </c>
      <c r="C40" s="273"/>
      <c r="D40" s="274">
        <f ca="1">B40/B35</f>
        <v>0</v>
      </c>
    </row>
    <row r="41" spans="1:12" ht="13.5" thickTop="1">
      <c r="A41" s="280"/>
      <c r="B41" s="281"/>
      <c r="C41" s="281"/>
      <c r="D41" s="282"/>
    </row>
    <row r="44" spans="1:12" s="288" customFormat="1" ht="66.75" customHeight="1">
      <c r="A44" s="283">
        <v>2</v>
      </c>
      <c r="B44" s="363" t="str">
        <f ca="1">"Bequest "&amp;DOLLAR(Options!$K$3,0)&amp;" "&amp;Options!$L$3&amp;" to child(ren) in business at 2nd death, buy "&amp;Input!$D$33-Input!$D$32&amp;" x "&amp;DOLLAR('Current Distribution'!$H$24-'Current Distribution'!$K$24,0)&amp;" in survivorship insurance to equalize the others at 2nd death and cover estate taxes of "&amp;DOLLAR('Current Distribution'!$F$24,0)&amp;".  ("&amp;DOLLAR(Options!$K$5,0)&amp;" of survivorship insurance owned within an irrevocable trust for the benefit of the children outside the business).  What about retirement needs?"</f>
        <v>Bequest $5,000,000 business to child(ren) in business at 2nd death, buy 1 x $2,500,000 in survivorship insurance to equalize the others at 2nd death and cover estate taxes of $0.  ($2,500,000 of survivorship insurance owned within an irrevocable trust for the benefit of the children outside the business).  What about retirement needs?</v>
      </c>
      <c r="C44" s="363"/>
      <c r="D44" s="363"/>
      <c r="E44" s="363"/>
      <c r="F44" s="363"/>
      <c r="G44" s="363"/>
      <c r="H44" s="363"/>
      <c r="I44" s="284" t="b">
        <v>0</v>
      </c>
      <c r="J44" s="285" t="str">
        <f ca="1">DOLLAR(K44,0)&amp;"           (survivorship life)"</f>
        <v>$2,500,000           (survivorship life)</v>
      </c>
      <c r="K44" s="286">
        <f ca="1">IF((('Current Distribution'!$H$24-'Current Distribution'!$K$24)*(Input!$D$33-Input!$D$32))&lt;0,0,(('Current Distribution'!$H$24-'Current Distribution'!$K$24)*(Input!$D$33-Input!$D$32)))</f>
        <v>2500000</v>
      </c>
      <c r="L44" s="287"/>
    </row>
    <row r="45" spans="1:12" s="288" customFormat="1" ht="57.75" customHeight="1">
      <c r="A45" s="283">
        <v>5</v>
      </c>
      <c r="B45" s="364" t="s">
        <v>51</v>
      </c>
      <c r="C45" s="365"/>
      <c r="D45" s="365"/>
      <c r="E45" s="365"/>
      <c r="F45" s="365"/>
      <c r="G45" s="365"/>
      <c r="H45" s="365"/>
      <c r="I45" s="289" t="b">
        <v>0</v>
      </c>
      <c r="J45" s="285" t="str">
        <f ca="1">DOLLAR(K45,0)&amp;"               (estate taxes only)"</f>
        <v>$0               (estate taxes only)</v>
      </c>
      <c r="K45" s="286">
        <f ca="1">'Current Distribution'!$C$23</f>
        <v>0</v>
      </c>
      <c r="L45" s="290">
        <f>Options!$K$3</f>
        <v>5000000</v>
      </c>
    </row>
    <row r="46" spans="1:12" s="288" customFormat="1" ht="84" customHeight="1">
      <c r="A46" s="283">
        <v>7</v>
      </c>
      <c r="B46" s="364" t="s">
        <v>52</v>
      </c>
      <c r="C46" s="365"/>
      <c r="D46" s="365"/>
      <c r="E46" s="365"/>
      <c r="F46" s="365"/>
      <c r="G46" s="365"/>
      <c r="H46" s="365"/>
      <c r="I46" s="289" t="b">
        <v>0</v>
      </c>
      <c r="J46" s="285" t="str">
        <f ca="1">DOLLAR(K46,0)&amp;"               (estate taxes only)"</f>
        <v>$0               (estate taxes only)</v>
      </c>
      <c r="K46" s="286">
        <f ca="1">'Current Distribution'!$C$23</f>
        <v>0</v>
      </c>
      <c r="L46" s="290">
        <f>Options!$K$3*((Input!$D$33-Input!$D$32)/Input!$D$33)</f>
        <v>2500000</v>
      </c>
    </row>
  </sheetData>
  <sheetProtection password="D977" sheet="1" objects="1" scenarios="1" selectLockedCells="1"/>
  <mergeCells count="8">
    <mergeCell ref="B44:H44"/>
    <mergeCell ref="B45:H45"/>
    <mergeCell ref="B46:H46"/>
    <mergeCell ref="B5:D5"/>
    <mergeCell ref="B8:D8"/>
    <mergeCell ref="B10:D10"/>
    <mergeCell ref="A12:D12"/>
    <mergeCell ref="A33:D33"/>
  </mergeCells>
  <pageMargins left="0.7" right="0.7" top="0.75" bottom="0.75" header="0.3" footer="0.3"/>
  <pageSetup orientation="portrait" r:id="rId1"/>
  <ignoredErrors>
    <ignoredError sqref="A1:A4 A6" unlockedFormula="1"/>
  </ignoredErrors>
  <legacyDrawing r:id="rId2"/>
</worksheet>
</file>

<file path=xl/worksheets/sheet7.xml><?xml version="1.0" encoding="utf-8"?>
<worksheet xmlns="http://schemas.openxmlformats.org/spreadsheetml/2006/main" xmlns:r="http://schemas.openxmlformats.org/officeDocument/2006/relationships">
  <dimension ref="A1:IX34"/>
  <sheetViews>
    <sheetView showGridLines="0" showRowColHeaders="0" zoomScaleNormal="100" workbookViewId="0">
      <selection activeCell="C8" sqref="C8"/>
    </sheetView>
  </sheetViews>
  <sheetFormatPr defaultColWidth="10.6640625" defaultRowHeight="15.75"/>
  <cols>
    <col min="1" max="1" width="2.109375" style="5" customWidth="1"/>
    <col min="2" max="2" width="25.21875" style="4" customWidth="1"/>
    <col min="3" max="3" width="11.77734375" style="4" customWidth="1"/>
    <col min="4" max="4" width="2.33203125" style="4" customWidth="1"/>
    <col min="5" max="5" width="10.6640625" style="6" customWidth="1"/>
    <col min="6" max="6" width="0.33203125" style="4" customWidth="1"/>
    <col min="7" max="8" width="10.77734375" style="4" customWidth="1"/>
    <col min="9" max="9" width="0.33203125" style="4" customWidth="1"/>
    <col min="10" max="12" width="10.77734375" style="4" customWidth="1"/>
    <col min="13" max="13" width="1.6640625" style="4" customWidth="1"/>
    <col min="14" max="258" width="10.6640625" style="4"/>
    <col min="259" max="16384" width="10.6640625" style="5"/>
  </cols>
  <sheetData>
    <row r="1" spans="1:13" ht="30" customHeight="1">
      <c r="A1" s="317" t="s">
        <v>30</v>
      </c>
      <c r="B1" s="317"/>
      <c r="C1" s="317"/>
      <c r="D1" s="317"/>
      <c r="E1" s="317"/>
      <c r="F1" s="317"/>
      <c r="G1" s="317"/>
      <c r="H1" s="317"/>
      <c r="I1" s="317"/>
      <c r="J1" s="317"/>
      <c r="K1" s="317"/>
      <c r="L1" s="317"/>
      <c r="M1" s="2"/>
    </row>
    <row r="2" spans="1:13" ht="22.5" customHeight="1">
      <c r="A2" s="318" t="s">
        <v>150</v>
      </c>
      <c r="B2" s="318"/>
      <c r="C2" s="318"/>
      <c r="D2" s="318"/>
      <c r="E2" s="318"/>
      <c r="F2" s="318"/>
      <c r="G2" s="318"/>
      <c r="H2" s="318"/>
      <c r="I2" s="318"/>
      <c r="J2" s="318"/>
      <c r="K2" s="318"/>
      <c r="L2" s="318"/>
      <c r="M2" s="2"/>
    </row>
    <row r="3" spans="1:13" ht="6" customHeight="1">
      <c r="B3" s="2"/>
      <c r="C3" s="2"/>
      <c r="D3" s="2"/>
      <c r="E3" s="3"/>
      <c r="F3" s="2"/>
      <c r="G3" s="2"/>
      <c r="H3" s="2"/>
      <c r="I3" s="2"/>
      <c r="J3" s="2"/>
      <c r="K3" s="2"/>
      <c r="L3" s="2"/>
      <c r="M3" s="2"/>
    </row>
    <row r="4" spans="1:13" ht="19.5" customHeight="1">
      <c r="G4" s="343" t="str">
        <f>IF(C$30&gt;1,"Children in the Business","Child in the Business")</f>
        <v>Children in the Business</v>
      </c>
      <c r="H4" s="344"/>
      <c r="I4" s="7"/>
      <c r="J4" s="343" t="str">
        <f>IF($C$31-$C$30&gt;1,"Children Outside the Business","Child Outside the Business")</f>
        <v>Children Outside the Business</v>
      </c>
      <c r="K4" s="345"/>
      <c r="L4" s="344"/>
      <c r="M4" s="7"/>
    </row>
    <row r="5" spans="1:13" ht="4.5" customHeight="1">
      <c r="G5" s="8"/>
      <c r="H5" s="9"/>
      <c r="I5" s="7"/>
      <c r="J5" s="8"/>
      <c r="K5" s="9"/>
      <c r="L5" s="9"/>
      <c r="M5" s="7"/>
    </row>
    <row r="6" spans="1:13" ht="20.25" customHeight="1">
      <c r="C6" s="310" t="s">
        <v>23</v>
      </c>
      <c r="D6" s="49" t="s">
        <v>27</v>
      </c>
      <c r="E6" s="50" t="s">
        <v>6</v>
      </c>
      <c r="F6" s="10"/>
      <c r="G6" s="312" t="str">
        <f>IF($J$28="","",$J$28)</f>
        <v/>
      </c>
      <c r="H6" s="312" t="str">
        <f>IF($J$29="","",$J$29)</f>
        <v/>
      </c>
      <c r="I6" s="313"/>
      <c r="J6" s="312" t="str">
        <f>IF($J$30="","",$J$30)</f>
        <v/>
      </c>
      <c r="K6" s="312" t="str">
        <f>IF($J$31="","",$J$31)</f>
        <v/>
      </c>
      <c r="L6" s="312" t="str">
        <f>IF($J$32="","",$J$32)</f>
        <v/>
      </c>
      <c r="M6" s="7"/>
    </row>
    <row r="7" spans="1:13" ht="6" customHeight="1">
      <c r="E7" s="12"/>
      <c r="G7" s="9"/>
      <c r="H7" s="9"/>
      <c r="J7" s="9"/>
      <c r="K7" s="9"/>
      <c r="L7" s="9"/>
    </row>
    <row r="8" spans="1:13" ht="13.5" customHeight="1">
      <c r="B8" s="13" t="s">
        <v>42</v>
      </c>
      <c r="C8" s="61"/>
      <c r="D8" s="14" t="b">
        <v>0</v>
      </c>
      <c r="E8" s="51"/>
      <c r="F8" s="15"/>
      <c r="G8" s="15"/>
      <c r="H8" s="15"/>
      <c r="I8" s="15"/>
      <c r="J8" s="15"/>
      <c r="K8" s="15"/>
      <c r="L8" s="16"/>
    </row>
    <row r="9" spans="1:13" ht="6" customHeight="1">
      <c r="B9" s="17"/>
      <c r="C9" s="92"/>
      <c r="D9" s="18"/>
      <c r="E9" s="52"/>
      <c r="F9" s="19"/>
      <c r="G9" s="19"/>
      <c r="H9" s="19"/>
      <c r="I9" s="19"/>
      <c r="J9" s="19"/>
      <c r="K9" s="19"/>
      <c r="L9" s="19"/>
    </row>
    <row r="10" spans="1:13" ht="17.25" customHeight="1">
      <c r="A10" s="378" t="s">
        <v>32</v>
      </c>
      <c r="B10" s="69" t="s">
        <v>2</v>
      </c>
      <c r="C10" s="61"/>
      <c r="D10" s="20" t="b">
        <v>0</v>
      </c>
      <c r="E10" s="53"/>
      <c r="F10" s="21"/>
      <c r="G10" s="76"/>
      <c r="H10" s="78"/>
      <c r="I10" s="21"/>
      <c r="J10" s="15"/>
      <c r="K10" s="74"/>
      <c r="L10" s="16"/>
    </row>
    <row r="11" spans="1:13" ht="13.5" customHeight="1">
      <c r="A11" s="379"/>
      <c r="B11" s="70" t="s">
        <v>0</v>
      </c>
      <c r="C11" s="61"/>
      <c r="D11" s="23" t="b">
        <v>0</v>
      </c>
      <c r="E11" s="54"/>
      <c r="F11" s="24"/>
      <c r="G11" s="76"/>
      <c r="H11" s="78"/>
      <c r="I11" s="24"/>
      <c r="J11" s="15"/>
      <c r="K11" s="74"/>
      <c r="L11" s="16"/>
    </row>
    <row r="12" spans="1:13" ht="13.5" customHeight="1">
      <c r="A12" s="379"/>
      <c r="B12" s="70" t="s">
        <v>8</v>
      </c>
      <c r="C12" s="61"/>
      <c r="D12" s="23" t="b">
        <v>0</v>
      </c>
      <c r="E12" s="54"/>
      <c r="F12" s="24"/>
      <c r="G12" s="76"/>
      <c r="H12" s="78"/>
      <c r="I12" s="24"/>
      <c r="J12" s="15"/>
      <c r="K12" s="74"/>
      <c r="L12" s="16"/>
    </row>
    <row r="13" spans="1:13" ht="13.5" customHeight="1">
      <c r="A13" s="379"/>
      <c r="B13" s="70" t="s">
        <v>29</v>
      </c>
      <c r="C13" s="61"/>
      <c r="D13" s="23" t="b">
        <v>0</v>
      </c>
      <c r="E13" s="54"/>
      <c r="F13" s="24"/>
      <c r="G13" s="76"/>
      <c r="H13" s="78"/>
      <c r="I13" s="24"/>
      <c r="J13" s="15"/>
      <c r="K13" s="74"/>
      <c r="L13" s="16"/>
    </row>
    <row r="14" spans="1:13" ht="13.5" customHeight="1">
      <c r="A14" s="379"/>
      <c r="B14" s="70" t="s">
        <v>1</v>
      </c>
      <c r="C14" s="61"/>
      <c r="D14" s="23" t="b">
        <v>0</v>
      </c>
      <c r="E14" s="54"/>
      <c r="F14" s="24"/>
      <c r="G14" s="76"/>
      <c r="H14" s="78"/>
      <c r="I14" s="24"/>
      <c r="J14" s="15"/>
      <c r="K14" s="74"/>
      <c r="L14" s="16"/>
    </row>
    <row r="15" spans="1:13" ht="13.5" customHeight="1">
      <c r="A15" s="379"/>
      <c r="B15" s="70" t="s">
        <v>26</v>
      </c>
      <c r="C15" s="61"/>
      <c r="D15" s="23" t="b">
        <v>0</v>
      </c>
      <c r="E15" s="54"/>
      <c r="F15" s="24"/>
      <c r="G15" s="76"/>
      <c r="H15" s="78"/>
      <c r="I15" s="24"/>
      <c r="J15" s="15"/>
      <c r="K15" s="74"/>
      <c r="L15" s="16"/>
    </row>
    <row r="16" spans="1:13" ht="13.5" customHeight="1">
      <c r="A16" s="379"/>
      <c r="B16" s="70" t="s">
        <v>28</v>
      </c>
      <c r="C16" s="61"/>
      <c r="D16" s="23" t="b">
        <v>0</v>
      </c>
      <c r="E16" s="54"/>
      <c r="F16" s="24"/>
      <c r="G16" s="76"/>
      <c r="H16" s="78"/>
      <c r="I16" s="24"/>
      <c r="J16" s="15"/>
      <c r="K16" s="74"/>
      <c r="L16" s="16"/>
    </row>
    <row r="17" spans="1:258" ht="13.5" customHeight="1">
      <c r="A17" s="379"/>
      <c r="B17" s="70"/>
      <c r="C17" s="61"/>
      <c r="D17" s="23" t="b">
        <v>0</v>
      </c>
      <c r="E17" s="54"/>
      <c r="F17" s="24"/>
      <c r="G17" s="76"/>
      <c r="H17" s="78"/>
      <c r="I17" s="24"/>
      <c r="J17" s="15"/>
      <c r="K17" s="74"/>
      <c r="L17" s="16"/>
    </row>
    <row r="18" spans="1:258" ht="13.5" customHeight="1">
      <c r="A18" s="379"/>
      <c r="B18" s="70"/>
      <c r="C18" s="61"/>
      <c r="D18" s="23" t="b">
        <v>0</v>
      </c>
      <c r="E18" s="54"/>
      <c r="F18" s="24"/>
      <c r="G18" s="76"/>
      <c r="H18" s="78"/>
      <c r="I18" s="24"/>
      <c r="J18" s="15"/>
      <c r="K18" s="74"/>
      <c r="L18" s="16"/>
    </row>
    <row r="19" spans="1:258" ht="18.75" customHeight="1">
      <c r="A19" s="380"/>
      <c r="B19" s="71" t="s">
        <v>25</v>
      </c>
      <c r="C19" s="68"/>
      <c r="D19" s="94" t="b">
        <v>0</v>
      </c>
      <c r="E19" s="55"/>
      <c r="F19" s="26"/>
      <c r="G19" s="77"/>
      <c r="H19" s="79"/>
      <c r="I19" s="26"/>
      <c r="J19" s="72"/>
      <c r="K19" s="75"/>
      <c r="L19" s="73"/>
    </row>
    <row r="20" spans="1:258" ht="18.75" customHeight="1">
      <c r="B20" s="4" t="s">
        <v>4</v>
      </c>
      <c r="C20" s="27"/>
      <c r="D20" s="347" t="s">
        <v>147</v>
      </c>
      <c r="E20" s="347"/>
      <c r="F20" s="347"/>
      <c r="G20" s="347"/>
      <c r="H20" s="347"/>
      <c r="I20" s="347"/>
      <c r="J20" s="347"/>
      <c r="K20" s="347"/>
      <c r="L20" s="347"/>
    </row>
    <row r="21" spans="1:258" ht="15.75" customHeight="1">
      <c r="B21" s="4" t="s">
        <v>45</v>
      </c>
      <c r="C21" s="28"/>
      <c r="D21" s="348"/>
      <c r="E21" s="348"/>
      <c r="F21" s="348"/>
      <c r="G21" s="348"/>
      <c r="H21" s="348"/>
      <c r="I21" s="348"/>
      <c r="J21" s="348"/>
      <c r="K21" s="348"/>
      <c r="L21" s="348"/>
    </row>
    <row r="22" spans="1:258" ht="15.75" customHeight="1">
      <c r="B22" s="4" t="s">
        <v>3</v>
      </c>
      <c r="C22" s="29"/>
      <c r="D22" s="348"/>
      <c r="E22" s="348"/>
      <c r="F22" s="348"/>
      <c r="G22" s="348"/>
      <c r="H22" s="348"/>
      <c r="I22" s="348"/>
      <c r="J22" s="348"/>
      <c r="K22" s="348"/>
      <c r="L22" s="348"/>
    </row>
    <row r="23" spans="1:258" ht="14.25" customHeight="1">
      <c r="B23" s="4" t="s">
        <v>5</v>
      </c>
      <c r="C23" s="57"/>
      <c r="D23" s="80" t="s">
        <v>149</v>
      </c>
      <c r="E23" s="56"/>
      <c r="F23" s="29"/>
      <c r="G23" s="30"/>
      <c r="H23" s="29"/>
      <c r="I23" s="29"/>
      <c r="J23" s="29"/>
      <c r="K23" s="29"/>
      <c r="L23" s="29"/>
    </row>
    <row r="24" spans="1:258" ht="15.75" customHeight="1" thickBot="1">
      <c r="B24" s="4" t="s">
        <v>22</v>
      </c>
      <c r="C24" s="29"/>
      <c r="D24" s="29"/>
      <c r="E24" s="58"/>
      <c r="F24" s="31"/>
      <c r="G24" s="32"/>
      <c r="H24" s="32"/>
      <c r="I24" s="31"/>
      <c r="J24" s="32"/>
      <c r="K24" s="32"/>
      <c r="L24" s="32"/>
    </row>
    <row r="25" spans="1:258" s="37" customFormat="1" ht="14.25" customHeight="1" thickTop="1">
      <c r="B25" s="4" t="s">
        <v>9</v>
      </c>
      <c r="C25" s="33"/>
      <c r="D25" s="33"/>
      <c r="E25" s="59"/>
      <c r="F25" s="34"/>
      <c r="G25" s="35"/>
      <c r="H25" s="35"/>
      <c r="I25" s="34"/>
      <c r="J25" s="35"/>
      <c r="K25" s="35"/>
      <c r="L25" s="35"/>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row>
    <row r="26" spans="1:258" ht="18.75" customHeight="1">
      <c r="A26" s="60" t="s">
        <v>41</v>
      </c>
      <c r="C26" s="60"/>
      <c r="D26" s="60"/>
      <c r="E26" s="60"/>
      <c r="F26" s="60"/>
      <c r="G26" s="60"/>
      <c r="H26" s="60"/>
      <c r="I26" s="60"/>
      <c r="J26" s="60"/>
      <c r="K26" s="60"/>
      <c r="L26" s="60"/>
    </row>
    <row r="27" spans="1:258" ht="57" customHeight="1">
      <c r="A27" s="341" t="s">
        <v>24</v>
      </c>
      <c r="B27" s="341"/>
      <c r="C27" s="341"/>
      <c r="D27" s="341"/>
      <c r="E27" s="341"/>
      <c r="F27" s="341"/>
      <c r="G27" s="341"/>
      <c r="H27" s="341"/>
      <c r="I27" s="341"/>
      <c r="J27" s="341"/>
      <c r="K27" s="341"/>
      <c r="L27" s="341"/>
    </row>
    <row r="28" spans="1:258" ht="14.25" customHeight="1">
      <c r="A28" s="4" t="s">
        <v>14</v>
      </c>
      <c r="C28" s="61">
        <v>5000000</v>
      </c>
      <c r="D28" s="1" t="b">
        <v>1</v>
      </c>
      <c r="E28" s="6" t="s">
        <v>21</v>
      </c>
      <c r="H28" s="38" t="s">
        <v>19</v>
      </c>
      <c r="J28" s="63"/>
      <c r="K28" s="374" t="s">
        <v>151</v>
      </c>
      <c r="L28" s="375"/>
    </row>
    <row r="29" spans="1:258" ht="14.25" customHeight="1">
      <c r="A29" s="4" t="s">
        <v>15</v>
      </c>
      <c r="C29" s="62">
        <v>0.35</v>
      </c>
      <c r="G29" s="39"/>
      <c r="H29" s="38" t="s">
        <v>20</v>
      </c>
      <c r="I29" s="39"/>
      <c r="J29" s="63"/>
      <c r="K29" s="374"/>
      <c r="L29" s="375"/>
    </row>
    <row r="30" spans="1:258" ht="14.25" customHeight="1">
      <c r="A30" s="4" t="s">
        <v>13</v>
      </c>
      <c r="C30" s="63">
        <v>2</v>
      </c>
      <c r="D30" s="39"/>
      <c r="E30" s="64" t="s">
        <v>7</v>
      </c>
      <c r="F30" s="39"/>
      <c r="G30" s="39"/>
      <c r="H30" s="40" t="s">
        <v>10</v>
      </c>
      <c r="I30" s="39"/>
      <c r="J30" s="63"/>
      <c r="K30" s="374"/>
      <c r="L30" s="375"/>
    </row>
    <row r="31" spans="1:258" ht="14.25" customHeight="1">
      <c r="A31" s="4" t="s">
        <v>16</v>
      </c>
      <c r="C31" s="63">
        <v>4</v>
      </c>
      <c r="D31" s="39"/>
      <c r="E31" s="64" t="str">
        <f>"(Max of "&amp;3+C30&amp;")"</f>
        <v>(Max of 5)</v>
      </c>
      <c r="F31" s="39"/>
      <c r="G31" s="39"/>
      <c r="H31" s="40" t="s">
        <v>11</v>
      </c>
      <c r="I31" s="39"/>
      <c r="J31" s="63"/>
      <c r="K31" s="39"/>
      <c r="L31" s="39"/>
    </row>
    <row r="32" spans="1:258" ht="14.25" customHeight="1">
      <c r="A32" s="4" t="s">
        <v>17</v>
      </c>
      <c r="C32" s="314" t="b">
        <v>0</v>
      </c>
      <c r="H32" s="40" t="s">
        <v>12</v>
      </c>
      <c r="J32" s="63"/>
    </row>
    <row r="33" spans="1:12" ht="14.25" customHeight="1">
      <c r="A33" s="4" t="s">
        <v>18</v>
      </c>
      <c r="C33" s="314" t="b">
        <v>0</v>
      </c>
      <c r="D33" s="376" t="s">
        <v>31</v>
      </c>
      <c r="E33" s="377"/>
      <c r="F33" s="377"/>
      <c r="G33" s="377"/>
      <c r="H33" s="377"/>
      <c r="I33" s="377"/>
      <c r="J33" s="377"/>
      <c r="K33" s="377"/>
      <c r="L33" s="377"/>
    </row>
    <row r="34" spans="1:12">
      <c r="B34" s="44" t="str">
        <f>Cover!$B$24</f>
        <v>0199933</v>
      </c>
      <c r="C34" s="45"/>
      <c r="D34" s="45"/>
      <c r="E34" s="45"/>
      <c r="F34" s="45"/>
      <c r="G34" s="46"/>
      <c r="H34" s="48"/>
      <c r="I34" s="48"/>
      <c r="J34" s="48"/>
      <c r="L34" s="47" t="str">
        <f>Cover!$L$24</f>
        <v xml:space="preserve">0199933-00001-00  Ed. 04/11 Exp. 04/13  </v>
      </c>
    </row>
  </sheetData>
  <sheetProtection password="D977" sheet="1" objects="1" scenarios="1" selectLockedCells="1"/>
  <mergeCells count="9">
    <mergeCell ref="A27:L27"/>
    <mergeCell ref="K28:L30"/>
    <mergeCell ref="D33:L33"/>
    <mergeCell ref="A1:L1"/>
    <mergeCell ref="A2:L2"/>
    <mergeCell ref="G4:H4"/>
    <mergeCell ref="J4:L4"/>
    <mergeCell ref="A10:A19"/>
    <mergeCell ref="D20:L22"/>
  </mergeCells>
  <printOptions horizontalCentered="1"/>
  <pageMargins left="0.5" right="0.5" top="0.5" bottom="0.5" header="0" footer="0"/>
  <pageSetup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Input</vt:lpstr>
      <vt:lpstr>Current Distribution</vt:lpstr>
      <vt:lpstr>Options</vt:lpstr>
      <vt:lpstr>Proposed Distribution</vt:lpstr>
      <vt:lpstr>Tables</vt:lpstr>
      <vt:lpstr>Fact Sheet</vt:lpstr>
      <vt:lpstr>ETable</vt:lpstr>
      <vt:lpstr>'Fact Sheet'!P</vt:lpstr>
      <vt:lpstr>'Proposed Distribution'!P</vt:lpstr>
      <vt:lpstr>P</vt:lpstr>
      <vt:lpstr>'Current Distribution'!Print_Area</vt:lpstr>
      <vt:lpstr>'Fact Sheet'!Print_Area</vt:lpstr>
      <vt:lpstr>Options!Print_Area</vt:lpstr>
      <vt:lpstr>'Proposed Distribution'!Print_Area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Anthony Spessard</cp:lastModifiedBy>
  <cp:lastPrinted>2011-05-02T21:51:19Z</cp:lastPrinted>
  <dcterms:created xsi:type="dcterms:W3CDTF">2010-12-06T21:40:59Z</dcterms:created>
  <dcterms:modified xsi:type="dcterms:W3CDTF">2012-09-04T15:05:25Z</dcterms:modified>
</cp:coreProperties>
</file>